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0840 SEER Rated AC and HP HVAC Equipment, Residential\"/>
    </mc:Choice>
  </mc:AlternateContent>
  <xr:revisionPtr revIDLastSave="0" documentId="13_ncr:1_{2B3E5627-A8B1-466F-8F2E-F57044BC8C06}" xr6:coauthVersionLast="47" xr6:coauthVersionMax="47" xr10:uidLastSave="{00000000-0000-0000-0000-000000000000}"/>
  <bookViews>
    <workbookView xWindow="28680" yWindow="-120" windowWidth="29040" windowHeight="15840" activeTab="1" xr2:uid="{8924BB09-3F74-4FA7-AA19-64A6447DCA48}"/>
  </bookViews>
  <sheets>
    <sheet name="Equation sources" sheetId="5" r:id="rId1"/>
    <sheet name="COP_calc" sheetId="4" r:id="rId2"/>
    <sheet name="Cooling" sheetId="1" r:id="rId3"/>
    <sheet name="Heating" sheetId="2" r:id="rId4"/>
    <sheet name="SEER_&amp;_COPs" sheetId="3" r:id="rId5"/>
    <sheet name="Turndown ratio" sheetId="6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6" l="1"/>
  <c r="E5" i="6"/>
  <c r="E6" i="6"/>
  <c r="E10" i="6"/>
  <c r="E12" i="6"/>
  <c r="E13" i="6"/>
  <c r="E14" i="6"/>
  <c r="E15" i="6"/>
  <c r="E16" i="6"/>
  <c r="E17" i="6"/>
  <c r="E18" i="6"/>
  <c r="H6" i="4"/>
  <c r="H7" i="4"/>
  <c r="H8" i="4"/>
  <c r="H9" i="4"/>
  <c r="H10" i="4"/>
  <c r="H11" i="4"/>
  <c r="H12" i="4"/>
  <c r="H13" i="4"/>
  <c r="H14" i="4"/>
  <c r="H5" i="4"/>
  <c r="C30" i="4" l="1"/>
  <c r="C29" i="4"/>
  <c r="C28" i="4"/>
  <c r="C27" i="4"/>
  <c r="C26" i="4"/>
  <c r="C25" i="4"/>
  <c r="C24" i="4"/>
  <c r="C23" i="4"/>
  <c r="C22" i="4"/>
  <c r="C21" i="4"/>
  <c r="Y6" i="4"/>
  <c r="Y7" i="4"/>
  <c r="K5" i="4"/>
  <c r="I21" i="4" s="1"/>
  <c r="K6" i="4"/>
  <c r="I22" i="4" s="1"/>
  <c r="K7" i="4"/>
  <c r="I23" i="4" s="1"/>
  <c r="K8" i="4"/>
  <c r="I24" i="4" s="1"/>
  <c r="K9" i="4"/>
  <c r="I25" i="4" s="1"/>
  <c r="K10" i="4"/>
  <c r="I26" i="4" s="1"/>
  <c r="K11" i="4"/>
  <c r="I27" i="4" s="1"/>
  <c r="K13" i="4"/>
  <c r="I29" i="4" s="1"/>
  <c r="K14" i="4"/>
  <c r="I30" i="4" s="1"/>
  <c r="K12" i="4"/>
  <c r="I28" i="4" s="1"/>
  <c r="L10" i="4"/>
  <c r="K26" i="4" s="1"/>
  <c r="L11" i="4"/>
  <c r="K27" i="4" s="1"/>
  <c r="L12" i="4"/>
  <c r="K28" i="4" s="1"/>
  <c r="L13" i="4"/>
  <c r="K29" i="4" s="1"/>
  <c r="L14" i="4"/>
  <c r="K30" i="4" s="1"/>
  <c r="L9" i="4"/>
  <c r="K25" i="4" s="1"/>
  <c r="P6" i="4"/>
  <c r="Q6" i="4" s="1"/>
  <c r="L22" i="4" s="1"/>
  <c r="P7" i="4"/>
  <c r="Q7" i="4" s="1"/>
  <c r="L23" i="4" s="1"/>
  <c r="O5" i="4" l="1"/>
  <c r="Y5" i="4" s="1"/>
  <c r="O8" i="4"/>
  <c r="O9" i="4"/>
  <c r="O14" i="4"/>
  <c r="O13" i="4"/>
  <c r="O10" i="4"/>
  <c r="O11" i="4"/>
  <c r="O12" i="4"/>
  <c r="P12" i="4" l="1"/>
  <c r="Q12" i="4" s="1"/>
  <c r="L28" i="4" s="1"/>
  <c r="Y12" i="4"/>
  <c r="P11" i="4"/>
  <c r="Q11" i="4" s="1"/>
  <c r="R11" i="4" s="1"/>
  <c r="Y11" i="4"/>
  <c r="P10" i="4"/>
  <c r="Q10" i="4" s="1"/>
  <c r="R10" i="4" s="1"/>
  <c r="Y10" i="4"/>
  <c r="P13" i="4"/>
  <c r="Q13" i="4" s="1"/>
  <c r="R13" i="4" s="1"/>
  <c r="Y13" i="4"/>
  <c r="P14" i="4"/>
  <c r="Q14" i="4" s="1"/>
  <c r="R14" i="4" s="1"/>
  <c r="Y14" i="4"/>
  <c r="P9" i="4"/>
  <c r="Q9" i="4" s="1"/>
  <c r="R9" i="4" s="1"/>
  <c r="Y9" i="4"/>
  <c r="P8" i="4"/>
  <c r="Q8" i="4" s="1"/>
  <c r="L24" i="4" s="1"/>
  <c r="Y8" i="4"/>
  <c r="P5" i="4"/>
  <c r="Q5" i="4" s="1"/>
  <c r="L21" i="4" s="1"/>
  <c r="R12" i="4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P50" i="1"/>
  <c r="O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50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P33" i="1"/>
  <c r="O33" i="1"/>
  <c r="L26" i="4" l="1"/>
  <c r="L27" i="4"/>
  <c r="L29" i="4"/>
  <c r="L30" i="4"/>
  <c r="L25" i="4"/>
  <c r="R34" i="1"/>
  <c r="R35" i="1"/>
  <c r="R36" i="1"/>
  <c r="R37" i="1"/>
  <c r="R38" i="1"/>
  <c r="R39" i="1"/>
  <c r="R40" i="1"/>
  <c r="R41" i="1"/>
  <c r="R42" i="1"/>
  <c r="R43" i="1"/>
  <c r="R44" i="1"/>
  <c r="R33" i="1"/>
  <c r="Q34" i="1"/>
  <c r="Q35" i="1"/>
  <c r="Q36" i="1"/>
  <c r="Q37" i="1"/>
  <c r="Q38" i="1"/>
  <c r="Q39" i="1"/>
  <c r="Q40" i="1"/>
  <c r="Q41" i="1"/>
  <c r="Q42" i="1"/>
  <c r="Q43" i="1"/>
  <c r="Q44" i="1"/>
  <c r="Q33" i="1"/>
  <c r="O11" i="3"/>
  <c r="P11" i="3"/>
  <c r="O12" i="3"/>
  <c r="P12" i="3"/>
  <c r="O13" i="3"/>
  <c r="P13" i="3"/>
  <c r="O14" i="3"/>
  <c r="P14" i="3"/>
  <c r="O15" i="3"/>
  <c r="P15" i="3"/>
  <c r="P10" i="3"/>
  <c r="O10" i="3"/>
  <c r="P31" i="3"/>
  <c r="P32" i="3"/>
  <c r="P33" i="3"/>
  <c r="P34" i="3"/>
  <c r="P35" i="3"/>
  <c r="O31" i="3"/>
  <c r="O32" i="3"/>
  <c r="O33" i="3"/>
  <c r="O34" i="3"/>
  <c r="O35" i="3"/>
  <c r="P30" i="3"/>
  <c r="O30" i="3"/>
  <c r="O5" i="3"/>
  <c r="O6" i="3"/>
  <c r="O7" i="3"/>
  <c r="O8" i="3"/>
  <c r="O9" i="3"/>
  <c r="O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tc={53663A38-CAED-49DC-B98F-AD7DD553A4CB}</author>
  </authors>
  <commentList>
    <comment ref="M5" authorId="0" shapeId="0" xr:uid="{53663A38-CAED-49DC-B98F-AD7DD553A4CB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EERE-2014-BT-STD-0048-0029_attachment_1, page 5-11</t>
      </text>
    </comment>
  </commentList>
</comments>
</file>

<file path=xl/sharedStrings.xml><?xml version="1.0" encoding="utf-8"?>
<sst xmlns="http://schemas.openxmlformats.org/spreadsheetml/2006/main" count="263" uniqueCount="159">
  <si>
    <t>Cooling Curve</t>
  </si>
  <si>
    <t>Heating Curve</t>
  </si>
  <si>
    <t>Capacity as a function of temperature (Table 18 column 1)</t>
  </si>
  <si>
    <t>Capacity as a function of flow fraction (Table 14 column 1)</t>
  </si>
  <si>
    <t>EIR as a function of temperature (Table 19 column 1)</t>
  </si>
  <si>
    <t>EIR as a function of flow fraction (Table 15 column 1)</t>
  </si>
  <si>
    <t>Capacity as a function of temperature (Table 18 column 4)</t>
  </si>
  <si>
    <t>Capacity as a function of flow fraction (Table 14 column 4)</t>
  </si>
  <si>
    <t>EIR as a function of temperature (Table 19 column 4)</t>
  </si>
  <si>
    <t>EIR as a function of flow fraction (Table 15 column 4)</t>
  </si>
  <si>
    <t>f(T) curve form</t>
  </si>
  <si>
    <t>f(FF) curve form</t>
  </si>
  <si>
    <t>Measure specifications</t>
  </si>
  <si>
    <t>SEER 14</t>
  </si>
  <si>
    <t>SEER 10</t>
  </si>
  <si>
    <t>SEER 11</t>
  </si>
  <si>
    <t>SEER 12</t>
  </si>
  <si>
    <t>SEER 13</t>
  </si>
  <si>
    <t>SEER 15</t>
  </si>
  <si>
    <t>SEER 16</t>
  </si>
  <si>
    <t>SEER 17</t>
  </si>
  <si>
    <t>SEER 18</t>
  </si>
  <si>
    <t>SEER 19</t>
  </si>
  <si>
    <t>SEER 20</t>
  </si>
  <si>
    <t>SEER 21</t>
  </si>
  <si>
    <t>Table for base/measure case parameters</t>
  </si>
  <si>
    <t>Pre/Std/Msr</t>
  </si>
  <si>
    <t>Tech Case</t>
  </si>
  <si>
    <t>Pre</t>
  </si>
  <si>
    <t>SEER</t>
  </si>
  <si>
    <t>COP1</t>
  </si>
  <si>
    <t>COP2 (if multi-speed)</t>
  </si>
  <si>
    <t>HSPF (if Heat Pump)</t>
  </si>
  <si>
    <t>Std</t>
  </si>
  <si>
    <t># of Fan speed</t>
  </si>
  <si>
    <t>Msr</t>
  </si>
  <si>
    <t>COP pairs possible based on Newton's method</t>
  </si>
  <si>
    <t>(Bigladder Python pacakge resdx-master)</t>
  </si>
  <si>
    <t>starting value 1</t>
  </si>
  <si>
    <t>starting value 2</t>
  </si>
  <si>
    <t>COP 1</t>
  </si>
  <si>
    <t>COP 2</t>
  </si>
  <si>
    <t>SEER / 3.412 ?</t>
  </si>
  <si>
    <t>1 + (SEER / 3.412) ?</t>
  </si>
  <si>
    <t>Target SEER</t>
  </si>
  <si>
    <t>(does this need multi too? For multi speed?)</t>
  </si>
  <si>
    <t>N/A</t>
  </si>
  <si>
    <t>heating COP1</t>
  </si>
  <si>
    <t>heating COP2</t>
  </si>
  <si>
    <t>What is a good COP range?</t>
  </si>
  <si>
    <t>lowest, 3</t>
  </si>
  <si>
    <t>highest 4.5</t>
  </si>
  <si>
    <t>LowLoadCOP</t>
  </si>
  <si>
    <t>HighLoadCOP</t>
  </si>
  <si>
    <t>Measure Tiers</t>
  </si>
  <si>
    <t>heating COP2 (if multi-speed)</t>
  </si>
  <si>
    <t>Plot curve from Table 18 and Table 19, Temperature on X-axis</t>
  </si>
  <si>
    <t>also for EIR, plot the inverse (1/EIR = COP)</t>
  </si>
  <si>
    <t>a</t>
  </si>
  <si>
    <t>b</t>
  </si>
  <si>
    <t>c</t>
  </si>
  <si>
    <t>d</t>
  </si>
  <si>
    <t>e</t>
  </si>
  <si>
    <t>f</t>
  </si>
  <si>
    <t>Cap_fT</t>
  </si>
  <si>
    <t>EIR_fT</t>
  </si>
  <si>
    <t>T_EWB</t>
  </si>
  <si>
    <t>T_ODB</t>
  </si>
  <si>
    <t>COP</t>
  </si>
  <si>
    <t>Degree C</t>
  </si>
  <si>
    <t>Degree F</t>
  </si>
  <si>
    <t>Cooling</t>
  </si>
  <si>
    <t>Capacity coeff</t>
  </si>
  <si>
    <t>EIR coeff</t>
  </si>
  <si>
    <t>(refer to CDU folder for Brushless Fan)</t>
  </si>
  <si>
    <t>Note</t>
  </si>
  <si>
    <t>AHRI HSPF</t>
  </si>
  <si>
    <t>HSPF_final</t>
  </si>
  <si>
    <t>equivalent heating COP</t>
  </si>
  <si>
    <t>Case Name</t>
  </si>
  <si>
    <t>SEER_13_Pre</t>
  </si>
  <si>
    <t>SEER_15_Std</t>
  </si>
  <si>
    <t>SEER_16_Msr</t>
  </si>
  <si>
    <t>SEER_17_Msr</t>
  </si>
  <si>
    <t>SEER_18_Msr</t>
  </si>
  <si>
    <t>SEER_19_Msr</t>
  </si>
  <si>
    <t>SEER_20_Msr</t>
  </si>
  <si>
    <t>SEER_21_Msr</t>
  </si>
  <si>
    <t>:vfd_curve_name</t>
  </si>
  <si>
    <t>:motor_eff</t>
  </si>
  <si>
    <t>:supplyfan_total_eff</t>
  </si>
  <si>
    <t>:cooling_coil_cop</t>
  </si>
  <si>
    <t>:heating_coil_cop (if HP)</t>
  </si>
  <si>
    <t>VFD_Fan_Curve</t>
  </si>
  <si>
    <t>:coil_type</t>
  </si>
  <si>
    <t>multispeed</t>
  </si>
  <si>
    <t>SEER 14.5</t>
  </si>
  <si>
    <t>SEER_14_Std</t>
  </si>
  <si>
    <t>SEER_14.5_Std</t>
  </si>
  <si>
    <t>This is the standard baseine for split systems 45-65 kbtuh</t>
  </si>
  <si>
    <t>This is the standard baseline for packaged systems, all sizes</t>
  </si>
  <si>
    <t>Thisis the pre-existing baseline for all equipment</t>
  </si>
  <si>
    <t>EER (full load minimum)</t>
  </si>
  <si>
    <t>COP1 (full load)</t>
  </si>
  <si>
    <t>EER (full load AHRI)</t>
  </si>
  <si>
    <t>approximation used for part load COP from SEER</t>
  </si>
  <si>
    <t>:cooling_coil_cop2</t>
  </si>
  <si>
    <t>OLD RUNS</t>
  </si>
  <si>
    <t>Cases setup - the red values changed</t>
  </si>
  <si>
    <t>Heat pump case name</t>
  </si>
  <si>
    <t>COP2 (if multi-speed, based on SEER)</t>
  </si>
  <si>
    <t>AC Case Name</t>
  </si>
  <si>
    <t>Only run this for heat pumps, because it is the same as the SEER_13_Pre run for Acs</t>
  </si>
  <si>
    <t>This is the standard baseline for split systems &lt; 45kbtuh</t>
  </si>
  <si>
    <t xml:space="preserve"> EER = −0.02 × SEER² + 1.12 × SEER</t>
  </si>
  <si>
    <t>EER</t>
  </si>
  <si>
    <t>Pkg</t>
  </si>
  <si>
    <t>Splt_45to65</t>
  </si>
  <si>
    <t>Splt_lt45</t>
  </si>
  <si>
    <t>system type based on std cases</t>
  </si>
  <si>
    <t>Std Baseline Consideration</t>
  </si>
  <si>
    <t>for this level, SEER 13 can be used for AC</t>
  </si>
  <si>
    <t>SEER to SEER2 AC system</t>
  </si>
  <si>
    <t>SEER to SEER2 HP system</t>
  </si>
  <si>
    <t>SEER2 to SEER AC system</t>
  </si>
  <si>
    <t>SEER2 to SEER HP system</t>
  </si>
  <si>
    <t>SEER2 = 0.974 (SEER) - 0.16</t>
  </si>
  <si>
    <t>SEER2 = 0.623 (SEER) + 5.342</t>
  </si>
  <si>
    <t>SEER = 1.0267 (SEER2) + 0.164</t>
  </si>
  <si>
    <t>SEER = 1.605 (SEER2) - 8.575</t>
  </si>
  <si>
    <t>Equation</t>
  </si>
  <si>
    <t>Source</t>
  </si>
  <si>
    <t>Solaris Technical, LLC. 2022. "Crosswalk Methods for HVAC Efficiency Test Ratings via Appendix M to Appendix M1." Prepared for San Diego Gas and Electric (SDG&amp;E) &amp; Southern California Edison (SCE). November 2.</t>
  </si>
  <si>
    <t>inverse of the above equation</t>
  </si>
  <si>
    <t>Wassmer, M. (2003). A Component-Based Model for Residential Air Conditioner and Heat Pump Energy Calculations. Masters Thesis, University of Colorado at Boulder</t>
  </si>
  <si>
    <t>EER to COP</t>
  </si>
  <si>
    <t>COP = EER / 3.41214</t>
  </si>
  <si>
    <t>definitions of COP and EER</t>
  </si>
  <si>
    <t>COP to EIR</t>
  </si>
  <si>
    <t>definitions of COP and EIR</t>
  </si>
  <si>
    <t>EIR = 1 / COP</t>
  </si>
  <si>
    <t>https://www.nrel.gov/docs/fy13osti/56354.pdf</t>
  </si>
  <si>
    <t>Source: Cutler, D., J. Winkler, N. Kruis, C. Christtensen, M. Brandemuehl. (2013) Improved Modeling of Residential Air Conditioners and Heat Pumps for Energy Calculations. NREL.</t>
  </si>
  <si>
    <t>This was an attempt to use python code built to generate SEER from EER to iteratively find EER from SEER. It did not work.</t>
  </si>
  <si>
    <t>https://support.energygauge.com/support/solutions/articles/12000091241-modeling-of-seer2-hspf2-and-how-it-compares-to-seer-hspf</t>
  </si>
  <si>
    <t>approximation COP = HSPF x 0.293</t>
  </si>
  <si>
    <t>Low/High ratio</t>
  </si>
  <si>
    <t>Alternative method from FSEC that also includes HSPF conversions</t>
  </si>
  <si>
    <t>Manufacturer data</t>
  </si>
  <si>
    <t>SEER to EER if SEER &lt;= 26</t>
  </si>
  <si>
    <t>else</t>
  </si>
  <si>
    <t>EER = 15.6</t>
  </si>
  <si>
    <t>Note these equations are appropriate for single-speed units only</t>
  </si>
  <si>
    <t>COP = −0.0255 × HSPF² + 0.6239 × HSPF</t>
  </si>
  <si>
    <t>HSPF to COP if HSPF &lt;=11.7</t>
  </si>
  <si>
    <t>COP = HSPF/3.412</t>
  </si>
  <si>
    <t>Wassmer, M. (2003). A Component-Based Model for Residential Air Conditioner and Heat Pump Energy Calculations. Masters Thesis, University of Colorado at Boulder (cited in Building America House Simulation Protocols)</t>
  </si>
  <si>
    <t>Dominion TRM 2023, DNV</t>
  </si>
  <si>
    <t>This equation was not used, though it should have been. Use this for the next revision of this measure.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</si>
</sst>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00"/>
    <numFmt numFmtId="166" formatCode="0.0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164" fontId="0" fillId="2" borderId="0" xfId="0" applyNumberFormat="1" applyFill="1"/>
    <xf numFmtId="166" fontId="0" fillId="3" borderId="0" xfId="0" applyNumberFormat="1" applyFill="1"/>
    <xf numFmtId="167" fontId="0" fillId="0" borderId="0" xfId="0" applyNumberFormat="1"/>
    <xf numFmtId="167" fontId="0" fillId="3" borderId="0" xfId="0" applyNumberFormat="1" applyFill="1"/>
    <xf numFmtId="2" fontId="0" fillId="0" borderId="0" xfId="0" applyNumberFormat="1"/>
    <xf numFmtId="166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0" xfId="0" applyFill="1"/>
    <xf numFmtId="0" fontId="0" fillId="0" borderId="5" xfId="0" applyBorder="1" applyAlignment="1">
      <alignment wrapText="1"/>
    </xf>
    <xf numFmtId="0" fontId="0" fillId="5" borderId="0" xfId="0" applyFill="1"/>
    <xf numFmtId="166" fontId="0" fillId="5" borderId="0" xfId="0" applyNumberFormat="1" applyFill="1"/>
    <xf numFmtId="2" fontId="1" fillId="5" borderId="0" xfId="0" applyNumberFormat="1" applyFont="1" applyFill="1"/>
    <xf numFmtId="2" fontId="0" fillId="5" borderId="0" xfId="0" applyNumberFormat="1" applyFill="1"/>
    <xf numFmtId="0" fontId="0" fillId="0" borderId="9" xfId="0" applyBorder="1"/>
    <xf numFmtId="0" fontId="2" fillId="0" borderId="9" xfId="0" applyFont="1" applyBorder="1"/>
    <xf numFmtId="0" fontId="0" fillId="6" borderId="9" xfId="0" applyFill="1" applyBorder="1"/>
    <xf numFmtId="0" fontId="1" fillId="5" borderId="9" xfId="0" applyFont="1" applyFill="1" applyBorder="1"/>
    <xf numFmtId="0" fontId="0" fillId="5" borderId="9" xfId="0" applyFill="1" applyBorder="1"/>
    <xf numFmtId="0" fontId="3" fillId="0" borderId="0" xfId="0" applyFont="1"/>
    <xf numFmtId="0" fontId="4" fillId="0" borderId="0" xfId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Cooling</a:t>
            </a:r>
            <a:r>
              <a:rPr lang="en-US" baseline="0"/>
              <a:t> Capacity Coeff.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EWB 57.2 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Cooling!$O$50:$O$53</c:f>
              <c:numCache>
                <c:formatCode>General</c:formatCode>
                <c:ptCount val="4"/>
                <c:pt idx="0">
                  <c:v>75.2</c:v>
                </c:pt>
                <c:pt idx="1">
                  <c:v>95</c:v>
                </c:pt>
                <c:pt idx="2">
                  <c:v>104</c:v>
                </c:pt>
                <c:pt idx="3">
                  <c:v>113</c:v>
                </c:pt>
              </c:numCache>
            </c:numRef>
          </c:xVal>
          <c:yVal>
            <c:numRef>
              <c:f>Cooling!$Q$50:$Q$53</c:f>
              <c:numCache>
                <c:formatCode>General</c:formatCode>
                <c:ptCount val="4"/>
                <c:pt idx="0">
                  <c:v>0.9927959999999999</c:v>
                </c:pt>
                <c:pt idx="1">
                  <c:v>0.91756700000000002</c:v>
                </c:pt>
                <c:pt idx="2">
                  <c:v>0.88009199999999999</c:v>
                </c:pt>
                <c:pt idx="3">
                  <c:v>0.84056700000000029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64-42DE-9C2D-5D733E6C7FFD}"/>
            </c:ext>
          </c:extLst>
        </c:ser>
        <c:ser>
          <c:idx val="1"/>
          <c:order val="1"/>
          <c:tx>
            <c:v>EWB 62.6 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Cooling!$O$54:$O$57</c:f>
              <c:numCache>
                <c:formatCode>General</c:formatCode>
                <c:ptCount val="4"/>
                <c:pt idx="0">
                  <c:v>75.2</c:v>
                </c:pt>
                <c:pt idx="1">
                  <c:v>95</c:v>
                </c:pt>
                <c:pt idx="2">
                  <c:v>104</c:v>
                </c:pt>
                <c:pt idx="3">
                  <c:v>113</c:v>
                </c:pt>
              </c:numCache>
            </c:numRef>
          </c:xVal>
          <c:yVal>
            <c:numRef>
              <c:f>Cooling!$Q$54:$Q$57</c:f>
              <c:numCache>
                <c:formatCode>General</c:formatCode>
                <c:ptCount val="4"/>
                <c:pt idx="0">
                  <c:v>1.0274190000000001</c:v>
                </c:pt>
                <c:pt idx="1">
                  <c:v>0.93833000000000011</c:v>
                </c:pt>
                <c:pt idx="2">
                  <c:v>0.89455499999999999</c:v>
                </c:pt>
                <c:pt idx="3">
                  <c:v>0.84873000000000032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C64-42DE-9C2D-5D733E6C7FFD}"/>
            </c:ext>
          </c:extLst>
        </c:ser>
        <c:ser>
          <c:idx val="2"/>
          <c:order val="2"/>
          <c:tx>
            <c:v>EWB 66.2 F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Cooling!$O$58:$O$61</c:f>
              <c:numCache>
                <c:formatCode>General</c:formatCode>
                <c:ptCount val="4"/>
                <c:pt idx="0">
                  <c:v>75.2</c:v>
                </c:pt>
                <c:pt idx="1">
                  <c:v>95</c:v>
                </c:pt>
                <c:pt idx="2">
                  <c:v>104</c:v>
                </c:pt>
                <c:pt idx="3">
                  <c:v>113</c:v>
                </c:pt>
              </c:numCache>
            </c:numRef>
          </c:xVal>
          <c:yVal>
            <c:numRef>
              <c:f>Cooling!$Q$58:$Q$61</c:f>
              <c:numCache>
                <c:formatCode>General</c:formatCode>
                <c:ptCount val="4"/>
                <c:pt idx="0">
                  <c:v>1.0814910000000002</c:v>
                </c:pt>
                <c:pt idx="1">
                  <c:v>0.98316200000000009</c:v>
                </c:pt>
                <c:pt idx="2">
                  <c:v>0.9351870000000001</c:v>
                </c:pt>
                <c:pt idx="3">
                  <c:v>0.88516200000000045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C64-42DE-9C2D-5D733E6C7FFD}"/>
            </c:ext>
          </c:extLst>
        </c:ser>
        <c:ser>
          <c:idx val="3"/>
          <c:order val="3"/>
          <c:tx>
            <c:v>EWB 71.6F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Cooling!$O$62:$O$65</c:f>
              <c:numCache>
                <c:formatCode>General</c:formatCode>
                <c:ptCount val="4"/>
                <c:pt idx="0">
                  <c:v>75.2</c:v>
                </c:pt>
                <c:pt idx="1">
                  <c:v>95</c:v>
                </c:pt>
                <c:pt idx="2">
                  <c:v>104</c:v>
                </c:pt>
                <c:pt idx="3">
                  <c:v>113</c:v>
                </c:pt>
              </c:numCache>
            </c:numRef>
          </c:xVal>
          <c:yVal>
            <c:numRef>
              <c:f>Cooling!$Q$62:$Q$65</c:f>
              <c:numCache>
                <c:formatCode>General</c:formatCode>
                <c:ptCount val="4"/>
                <c:pt idx="0">
                  <c:v>1.209084</c:v>
                </c:pt>
                <c:pt idx="1">
                  <c:v>1.096895</c:v>
                </c:pt>
                <c:pt idx="2">
                  <c:v>1.0426200000000001</c:v>
                </c:pt>
                <c:pt idx="3">
                  <c:v>0.98629500000000037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C64-42DE-9C2D-5D733E6C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437928"/>
        <c:axId val="510438584"/>
      </c:scatterChart>
      <c:valAx>
        <c:axId val="510437928"/>
        <c:scaling>
          <c:orientation val="minMax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Outdoor DB (F)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38584"/>
        <c:crosses val="autoZero"/>
        <c:crossBetween val="midCat"/>
      </c:valAx>
      <c:valAx>
        <c:axId val="510438584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37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EIR Coeff.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EWB 57.2 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Cooling!$O$50:$O$53</c:f>
              <c:numCache>
                <c:formatCode>General</c:formatCode>
                <c:ptCount val="4"/>
                <c:pt idx="0">
                  <c:v>75.2</c:v>
                </c:pt>
                <c:pt idx="1">
                  <c:v>95</c:v>
                </c:pt>
                <c:pt idx="2">
                  <c:v>104</c:v>
                </c:pt>
                <c:pt idx="3">
                  <c:v>113</c:v>
                </c:pt>
              </c:numCache>
            </c:numRef>
          </c:xVal>
          <c:yVal>
            <c:numRef>
              <c:f>Cooling!$R$50:$R$53</c:f>
              <c:numCache>
                <c:formatCode>General</c:formatCode>
                <c:ptCount val="4"/>
                <c:pt idx="0">
                  <c:v>0.77833200000000025</c:v>
                </c:pt>
                <c:pt idx="1">
                  <c:v>1.0829770000000001</c:v>
                </c:pt>
                <c:pt idx="2">
                  <c:v>1.2695320000000003</c:v>
                </c:pt>
                <c:pt idx="3">
                  <c:v>1.486137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64-42DE-9C2D-5D733E6C7FFD}"/>
            </c:ext>
          </c:extLst>
        </c:ser>
        <c:ser>
          <c:idx val="1"/>
          <c:order val="1"/>
          <c:tx>
            <c:v>EWB 62.6 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Cooling!$O$54:$O$57</c:f>
              <c:numCache>
                <c:formatCode>General</c:formatCode>
                <c:ptCount val="4"/>
                <c:pt idx="0">
                  <c:v>75.2</c:v>
                </c:pt>
                <c:pt idx="1">
                  <c:v>95</c:v>
                </c:pt>
                <c:pt idx="2">
                  <c:v>104</c:v>
                </c:pt>
                <c:pt idx="3">
                  <c:v>113</c:v>
                </c:pt>
              </c:numCache>
            </c:numRef>
          </c:xVal>
          <c:yVal>
            <c:numRef>
              <c:f>Cooling!$R$54:$R$57</c:f>
              <c:numCache>
                <c:formatCode>General</c:formatCode>
                <c:ptCount val="4"/>
                <c:pt idx="0">
                  <c:v>0.77893799999999991</c:v>
                </c:pt>
                <c:pt idx="1">
                  <c:v>1.0681719999999999</c:v>
                </c:pt>
                <c:pt idx="2">
                  <c:v>1.247722</c:v>
                </c:pt>
                <c:pt idx="3">
                  <c:v>1.457322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C64-42DE-9C2D-5D733E6C7FFD}"/>
            </c:ext>
          </c:extLst>
        </c:ser>
        <c:ser>
          <c:idx val="2"/>
          <c:order val="2"/>
          <c:tx>
            <c:v>EWB 66.2 F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Cooling!$O$58:$O$61</c:f>
              <c:numCache>
                <c:formatCode>General</c:formatCode>
                <c:ptCount val="4"/>
                <c:pt idx="0">
                  <c:v>75.2</c:v>
                </c:pt>
                <c:pt idx="1">
                  <c:v>95</c:v>
                </c:pt>
                <c:pt idx="2">
                  <c:v>104</c:v>
                </c:pt>
                <c:pt idx="3">
                  <c:v>113</c:v>
                </c:pt>
              </c:numCache>
            </c:numRef>
          </c:xVal>
          <c:yVal>
            <c:numRef>
              <c:f>Cooling!$R$58:$R$61</c:f>
              <c:numCache>
                <c:formatCode>General</c:formatCode>
                <c:ptCount val="4"/>
                <c:pt idx="0">
                  <c:v>0.74534199999999973</c:v>
                </c:pt>
                <c:pt idx="1">
                  <c:v>1.024302</c:v>
                </c:pt>
                <c:pt idx="2">
                  <c:v>1.199182</c:v>
                </c:pt>
                <c:pt idx="3">
                  <c:v>1.4041119999999998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C64-42DE-9C2D-5D733E6C7FFD}"/>
            </c:ext>
          </c:extLst>
        </c:ser>
        <c:ser>
          <c:idx val="3"/>
          <c:order val="3"/>
          <c:tx>
            <c:v>EWB 71.6 F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Cooling!$O$62:$O$65</c:f>
              <c:numCache>
                <c:formatCode>General</c:formatCode>
                <c:ptCount val="4"/>
                <c:pt idx="0">
                  <c:v>75.2</c:v>
                </c:pt>
                <c:pt idx="1">
                  <c:v>95</c:v>
                </c:pt>
                <c:pt idx="2">
                  <c:v>104</c:v>
                </c:pt>
                <c:pt idx="3">
                  <c:v>113</c:v>
                </c:pt>
              </c:numCache>
            </c:numRef>
          </c:xVal>
          <c:yVal>
            <c:numRef>
              <c:f>Cooling!$R$62:$R$65</c:f>
              <c:numCache>
                <c:formatCode>General</c:formatCode>
                <c:ptCount val="4"/>
                <c:pt idx="0">
                  <c:v>0.64394799999999985</c:v>
                </c:pt>
                <c:pt idx="1">
                  <c:v>0.907497</c:v>
                </c:pt>
                <c:pt idx="2">
                  <c:v>1.075372</c:v>
                </c:pt>
                <c:pt idx="3">
                  <c:v>1.2732969999999999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C64-42DE-9C2D-5D733E6C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437928"/>
        <c:axId val="510438584"/>
      </c:scatterChart>
      <c:valAx>
        <c:axId val="510437928"/>
        <c:scaling>
          <c:orientation val="minMax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Outdoor DB (F)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38584"/>
        <c:crosses val="autoZero"/>
        <c:crossBetween val="midCat"/>
      </c:valAx>
      <c:valAx>
        <c:axId val="510438584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37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image" Target="../media/image9.png"/><Relationship Id="rId7" Type="http://schemas.openxmlformats.org/officeDocument/2006/relationships/chart" Target="../charts/chart1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</xdr:colOff>
      <xdr:row>24</xdr:row>
      <xdr:rowOff>104775</xdr:rowOff>
    </xdr:from>
    <xdr:to>
      <xdr:col>18</xdr:col>
      <xdr:colOff>239502</xdr:colOff>
      <xdr:row>49</xdr:row>
      <xdr:rowOff>86354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BF166F-26B4-D3BA-B616-A6F084D40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5450" y="4340225"/>
          <a:ext cx="9869277" cy="4582154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19</xdr:row>
      <xdr:rowOff>111125</xdr:rowOff>
    </xdr:from>
    <xdr:to>
      <xdr:col>16</xdr:col>
      <xdr:colOff>172636</xdr:colOff>
      <xdr:row>24</xdr:row>
      <xdr:rowOff>111251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FE302-13AC-D629-B76B-E41A258E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4350" y="3368675"/>
          <a:ext cx="8497486" cy="905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160020</xdr:colOff>
      <xdr:row>1</xdr:row>
      <xdr:rowOff>188595</xdr:rowOff>
    </xdr:from>
    <xdr:to>
      <xdr:col>31</xdr:col>
      <xdr:colOff>17503</xdr:colOff>
      <xdr:row>3</xdr:row>
      <xdr:rowOff>169576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21BC5E-D358-44D0-B9E5-E91A6B8FF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76945" y="379095"/>
          <a:ext cx="4132303" cy="369601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19</xdr:row>
      <xdr:rowOff>114300</xdr:rowOff>
    </xdr:from>
    <xdr:to>
      <xdr:col>22</xdr:col>
      <xdr:colOff>401042</xdr:colOff>
      <xdr:row>46</xdr:row>
      <xdr:rowOff>123673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B3314A-3FF5-461C-8303-897FF618A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6325" y="3743325"/>
          <a:ext cx="11467187" cy="5566893"/>
        </a:xfrm>
        <a:prstGeom prst="rect">
          <a:avLst/>
        </a:prstGeom>
      </xdr:spPr>
    </xdr:pic>
    <xdr:clientData/>
  </xdr:twoCellAnchor>
  <xdr:twoCellAnchor editAs="oneCell">
    <xdr:from>
      <xdr:col>10</xdr:col>
      <xdr:colOff>1207771</xdr:colOff>
      <xdr:row>1</xdr:row>
      <xdr:rowOff>32385</xdr:rowOff>
    </xdr:from>
    <xdr:to>
      <xdr:col>12</xdr:col>
      <xdr:colOff>782957</xdr:colOff>
      <xdr:row>2</xdr:row>
      <xdr:rowOff>173456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3DFD82-F8A1-48D1-A48E-26A127B54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90911" y="32385"/>
          <a:ext cx="1969770" cy="327761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</xdr:colOff>
      <xdr:row>15</xdr:row>
      <xdr:rowOff>114300</xdr:rowOff>
    </xdr:from>
    <xdr:to>
      <xdr:col>17</xdr:col>
      <xdr:colOff>66349</xdr:colOff>
      <xdr:row>18</xdr:row>
      <xdr:rowOff>93393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56372A-BD6D-49DC-A0F8-B0B2E7928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51080" y="2971800"/>
          <a:ext cx="3604571" cy="567738"/>
        </a:xfrm>
        <a:prstGeom prst="rect">
          <a:avLst/>
        </a:prstGeom>
      </xdr:spPr>
    </xdr:pic>
    <xdr:clientData/>
  </xdr:twoCellAnchor>
  <xdr:twoCellAnchor>
    <xdr:from>
      <xdr:col>1</xdr:col>
      <xdr:colOff>75622</xdr:colOff>
      <xdr:row>17</xdr:row>
      <xdr:rowOff>23668</xdr:rowOff>
    </xdr:from>
    <xdr:to>
      <xdr:col>1</xdr:col>
      <xdr:colOff>2188441</xdr:colOff>
      <xdr:row>22</xdr:row>
      <xdr:rowOff>17317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27A216-9FED-2DEB-21F8-5F6DEBD21970}"/>
            </a:ext>
          </a:extLst>
        </xdr:cNvPr>
        <xdr:cNvSpPr txBox="1"/>
      </xdr:nvSpPr>
      <xdr:spPr>
        <a:xfrm>
          <a:off x="361372" y="3114963"/>
          <a:ext cx="2112819" cy="1283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sheet was used to develop the modeling</a:t>
          </a:r>
          <a:r>
            <a:rPr lang="en-US" sz="1100" baseline="0"/>
            <a:t> runs for the residential SEER rated measure. (SWHC049).  The more exact equation should have been used for the HSPF to COP conversion.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3</xdr:row>
      <xdr:rowOff>19050</xdr:rowOff>
    </xdr:from>
    <xdr:to>
      <xdr:col>19</xdr:col>
      <xdr:colOff>488688</xdr:colOff>
      <xdr:row>7</xdr:row>
      <xdr:rowOff>169980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C6DED5-AE1E-4BC2-8C1B-339908027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200025"/>
          <a:ext cx="5854438" cy="882449"/>
        </a:xfrm>
        <a:prstGeom prst="rect">
          <a:avLst/>
        </a:prstGeom>
      </xdr:spPr>
    </xdr:pic>
    <xdr:clientData/>
  </xdr:twoCellAnchor>
  <xdr:twoCellAnchor editAs="oneCell">
    <xdr:from>
      <xdr:col>10</xdr:col>
      <xdr:colOff>592455</xdr:colOff>
      <xdr:row>10</xdr:row>
      <xdr:rowOff>160020</xdr:rowOff>
    </xdr:from>
    <xdr:to>
      <xdr:col>19</xdr:col>
      <xdr:colOff>283845</xdr:colOff>
      <xdr:row>15</xdr:row>
      <xdr:rowOff>95228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486166-21F5-4D43-93CF-5A8001E57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8455" y="1607820"/>
          <a:ext cx="5673090" cy="8515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57150</xdr:rowOff>
    </xdr:from>
    <xdr:to>
      <xdr:col>9</xdr:col>
      <xdr:colOff>134604</xdr:colOff>
      <xdr:row>16</xdr:row>
      <xdr:rowOff>97155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6DD958-D3EF-493C-BD8F-E61DAEF6B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0075"/>
          <a:ext cx="5621004" cy="204025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</xdr:row>
      <xdr:rowOff>0</xdr:rowOff>
    </xdr:from>
    <xdr:to>
      <xdr:col>9</xdr:col>
      <xdr:colOff>92752</xdr:colOff>
      <xdr:row>45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F240EE-D457-4194-9439-CCDA3DA5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5610225"/>
          <a:ext cx="5573436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95251</xdr:rowOff>
    </xdr:from>
    <xdr:to>
      <xdr:col>10</xdr:col>
      <xdr:colOff>400050</xdr:colOff>
      <xdr:row>29</xdr:row>
      <xdr:rowOff>134297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4BAE3D-B8C6-4611-AE92-34C65309D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171826"/>
          <a:ext cx="6488430" cy="1841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123826</xdr:rowOff>
    </xdr:from>
    <xdr:to>
      <xdr:col>10</xdr:col>
      <xdr:colOff>246162</xdr:colOff>
      <xdr:row>56</xdr:row>
      <xdr:rowOff>135256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2873C8-9D25-4898-85F2-5B0863F5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8267701"/>
          <a:ext cx="6342162" cy="1640205"/>
        </a:xfrm>
        <a:prstGeom prst="rect">
          <a:avLst/>
        </a:prstGeom>
      </xdr:spPr>
    </xdr:pic>
    <xdr:clientData/>
  </xdr:twoCellAnchor>
  <xdr:twoCellAnchor>
    <xdr:from>
      <xdr:col>19</xdr:col>
      <xdr:colOff>180975</xdr:colOff>
      <xdr:row>45</xdr:row>
      <xdr:rowOff>53451</xdr:rowOff>
    </xdr:from>
    <xdr:to>
      <xdr:col>29</xdr:col>
      <xdr:colOff>362846</xdr:colOff>
      <xdr:row>72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0E79AB8-9E1D-4041-9EC9-31B466C63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502920</xdr:colOff>
      <xdr:row>45</xdr:row>
      <xdr:rowOff>15351</xdr:rowOff>
    </xdr:from>
    <xdr:to>
      <xdr:col>40</xdr:col>
      <xdr:colOff>69476</xdr:colOff>
      <xdr:row>72</xdr:row>
      <xdr:rowOff>57150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DFA27D5-7ED4-4EAE-9410-EF2B61E80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9</xdr:col>
      <xdr:colOff>543561</xdr:colOff>
      <xdr:row>18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DF2C2A-C9D4-4073-AF0E-2D0D1394C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2925"/>
          <a:ext cx="6023611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9</xdr:col>
      <xdr:colOff>387568</xdr:colOff>
      <xdr:row>46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D6B0E1-2E41-4DFB-95F0-01CE4814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10225"/>
          <a:ext cx="5880318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66675</xdr:rowOff>
    </xdr:from>
    <xdr:to>
      <xdr:col>11</xdr:col>
      <xdr:colOff>135663</xdr:colOff>
      <xdr:row>29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EA8695-DC37-4E0A-8CA7-66A65453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143250"/>
          <a:ext cx="6841263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85726</xdr:rowOff>
    </xdr:from>
    <xdr:to>
      <xdr:col>10</xdr:col>
      <xdr:colOff>588318</xdr:colOff>
      <xdr:row>57</xdr:row>
      <xdr:rowOff>7621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C0175F-A5F8-44C2-87B6-641BCB1A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229601"/>
          <a:ext cx="6684318" cy="17316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</xdr:row>
      <xdr:rowOff>28575</xdr:rowOff>
    </xdr:from>
    <xdr:to>
      <xdr:col>8</xdr:col>
      <xdr:colOff>549395</xdr:colOff>
      <xdr:row>25</xdr:row>
      <xdr:rowOff>85679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1EA1D-92F3-4E2E-AF0A-1FCCFD7B8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390525"/>
          <a:ext cx="5410955" cy="4216354"/>
        </a:xfrm>
        <a:prstGeom prst="rect">
          <a:avLst/>
        </a:prstGeom>
      </xdr:spPr>
    </xdr:pic>
    <xdr:clientData/>
  </xdr:twoCellAnchor>
  <xdr:twoCellAnchor editAs="oneCell">
    <xdr:from>
      <xdr:col>9</xdr:col>
      <xdr:colOff>160020</xdr:colOff>
      <xdr:row>26</xdr:row>
      <xdr:rowOff>15240</xdr:rowOff>
    </xdr:from>
    <xdr:to>
      <xdr:col>11</xdr:col>
      <xdr:colOff>821584</xdr:colOff>
      <xdr:row>29</xdr:row>
      <xdr:rowOff>171548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5D2387-B592-4917-914C-F08AF6F5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6420" y="4770120"/>
          <a:ext cx="3791479" cy="704948"/>
        </a:xfrm>
        <a:prstGeom prst="rect">
          <a:avLst/>
        </a:prstGeom>
      </xdr:spPr>
    </xdr:pic>
    <xdr:clientData/>
  </xdr:twoCellAnchor>
  <xdr:twoCellAnchor editAs="oneCell">
    <xdr:from>
      <xdr:col>9</xdr:col>
      <xdr:colOff>129540</xdr:colOff>
      <xdr:row>30</xdr:row>
      <xdr:rowOff>53340</xdr:rowOff>
    </xdr:from>
    <xdr:to>
      <xdr:col>11</xdr:col>
      <xdr:colOff>793644</xdr:colOff>
      <xdr:row>34</xdr:row>
      <xdr:rowOff>95356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61E7C0-91F1-4585-810C-6DB19F533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5940" y="5539740"/>
          <a:ext cx="3791479" cy="762106"/>
        </a:xfrm>
        <a:prstGeom prst="rect">
          <a:avLst/>
        </a:prstGeom>
      </xdr:spPr>
    </xdr:pic>
    <xdr:clientData/>
  </xdr:twoCellAnchor>
  <xdr:twoCellAnchor editAs="oneCell">
    <xdr:from>
      <xdr:col>9</xdr:col>
      <xdr:colOff>205740</xdr:colOff>
      <xdr:row>34</xdr:row>
      <xdr:rowOff>137160</xdr:rowOff>
    </xdr:from>
    <xdr:to>
      <xdr:col>11</xdr:col>
      <xdr:colOff>812686</xdr:colOff>
      <xdr:row>38</xdr:row>
      <xdr:rowOff>88361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E43E00-37A7-4011-9955-9CE09F52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2140" y="6355080"/>
          <a:ext cx="3734321" cy="685896"/>
        </a:xfrm>
        <a:prstGeom prst="rect">
          <a:avLst/>
        </a:prstGeom>
      </xdr:spPr>
    </xdr:pic>
    <xdr:clientData/>
  </xdr:twoCellAnchor>
  <xdr:twoCellAnchor editAs="oneCell">
    <xdr:from>
      <xdr:col>9</xdr:col>
      <xdr:colOff>259080</xdr:colOff>
      <xdr:row>38</xdr:row>
      <xdr:rowOff>121920</xdr:rowOff>
    </xdr:from>
    <xdr:to>
      <xdr:col>11</xdr:col>
      <xdr:colOff>707254</xdr:colOff>
      <xdr:row>42</xdr:row>
      <xdr:rowOff>76296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797A41-9726-4164-B28B-CC1AB4C2C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45480" y="7071360"/>
          <a:ext cx="3572374" cy="68589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469766</xdr:colOff>
      <xdr:row>46</xdr:row>
      <xdr:rowOff>164566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E6AE75-F5F8-4F8D-8D9B-80A411D13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86400" y="7863840"/>
          <a:ext cx="3591426" cy="724001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47</xdr:row>
      <xdr:rowOff>76200</xdr:rowOff>
    </xdr:from>
    <xdr:to>
      <xdr:col>11</xdr:col>
      <xdr:colOff>648221</xdr:colOff>
      <xdr:row>51</xdr:row>
      <xdr:rowOff>97261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85E6591-0C4D-4D0E-BD28-B5ED3D54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24500" y="8671560"/>
          <a:ext cx="3734321" cy="76210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cWilliams, Jennifer" id="{05FC765F-2F9B-4A93-B324-4B7C81AB4FAB}" userId="S::Jennifer.McWilliams@dnvgl.com::d6d7a406-662d-444e-b7a5-3d6edf41991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5" dT="2022-10-18T08:53:23.35" personId="{05FC765F-2F9B-4A93-B324-4B7C81AB4FAB}" id="{53663A38-CAED-49DC-B98F-AD7DD553A4CB}">
    <text>based on EERE-2014-BT-STD-0048-0029_attachment_1, page 5-11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energygauge.com/support/solutions/articles/12000091241-modeling-of-seer2-hspf2-and-how-it-compares-to-seer-hsp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0DEC-9531-41E2-981F-4FED332E8806}">
  <dimension ref="A2:J49"/>
  <sheetViews>
    <sheetView workbookViewId="0">
      <selection activeCell="B30" sqref="B30"/>
    </sheetView>
  </sheetViews>
  <sheetFormatPr defaultRowHeight="14.5" x14ac:dyDescent="0.35"/>
  <cols>
    <col min="1" max="1" width="25.6328125" customWidth="1"/>
    <col min="2" max="2" width="33.54296875" customWidth="1"/>
  </cols>
  <sheetData>
    <row r="2" spans="1:3" x14ac:dyDescent="0.35">
      <c r="B2" s="32" t="s">
        <v>130</v>
      </c>
      <c r="C2" s="32" t="s">
        <v>131</v>
      </c>
    </row>
    <row r="3" spans="1:3" x14ac:dyDescent="0.35">
      <c r="A3" t="s">
        <v>135</v>
      </c>
      <c r="B3" t="s">
        <v>136</v>
      </c>
      <c r="C3" t="s">
        <v>137</v>
      </c>
    </row>
    <row r="4" spans="1:3" x14ac:dyDescent="0.35">
      <c r="A4" t="s">
        <v>138</v>
      </c>
      <c r="B4" t="s">
        <v>140</v>
      </c>
      <c r="C4" t="s">
        <v>139</v>
      </c>
    </row>
    <row r="6" spans="1:3" x14ac:dyDescent="0.35">
      <c r="A6" s="32" t="s">
        <v>152</v>
      </c>
    </row>
    <row r="7" spans="1:3" x14ac:dyDescent="0.35">
      <c r="A7" t="s">
        <v>149</v>
      </c>
      <c r="B7" t="s">
        <v>114</v>
      </c>
      <c r="C7" t="s">
        <v>156</v>
      </c>
    </row>
    <row r="8" spans="1:3" x14ac:dyDescent="0.35">
      <c r="A8" t="s">
        <v>150</v>
      </c>
      <c r="B8" t="s">
        <v>151</v>
      </c>
      <c r="C8" t="s">
        <v>157</v>
      </c>
    </row>
    <row r="10" spans="1:3" x14ac:dyDescent="0.35">
      <c r="A10" t="s">
        <v>154</v>
      </c>
      <c r="B10" t="s">
        <v>153</v>
      </c>
      <c r="C10" t="s">
        <v>134</v>
      </c>
    </row>
    <row r="11" spans="1:3" x14ac:dyDescent="0.35">
      <c r="A11" t="s">
        <v>150</v>
      </c>
      <c r="B11" t="s">
        <v>155</v>
      </c>
      <c r="C11" t="s">
        <v>157</v>
      </c>
    </row>
    <row r="13" spans="1:3" x14ac:dyDescent="0.35">
      <c r="A13" t="s">
        <v>122</v>
      </c>
      <c r="B13" t="s">
        <v>126</v>
      </c>
      <c r="C13" t="s">
        <v>132</v>
      </c>
    </row>
    <row r="14" spans="1:3" x14ac:dyDescent="0.35">
      <c r="A14" t="s">
        <v>124</v>
      </c>
      <c r="B14" t="s">
        <v>128</v>
      </c>
      <c r="C14" t="s">
        <v>133</v>
      </c>
    </row>
    <row r="16" spans="1:3" x14ac:dyDescent="0.35">
      <c r="A16" t="s">
        <v>123</v>
      </c>
      <c r="B16" t="s">
        <v>127</v>
      </c>
      <c r="C16" t="s">
        <v>132</v>
      </c>
    </row>
    <row r="17" spans="1:10" x14ac:dyDescent="0.35">
      <c r="A17" t="s">
        <v>125</v>
      </c>
      <c r="B17" t="s">
        <v>129</v>
      </c>
      <c r="C17" t="s">
        <v>133</v>
      </c>
    </row>
    <row r="19" spans="1:10" x14ac:dyDescent="0.35">
      <c r="C19" s="32" t="s">
        <v>147</v>
      </c>
      <c r="J19" s="33" t="s">
        <v>144</v>
      </c>
    </row>
    <row r="49" spans="5:5" x14ac:dyDescent="0.35">
      <c r="E49" s="33"/>
    </row>
  </sheetData>
  <hyperlinks>
    <hyperlink ref="J19" r:id="rId1" xr:uid="{DA33E8C7-49C8-49DE-A32D-C0C24AA5C1F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046C-624B-4371-A504-07D427341246}">
  <sheetPr codeName="Sheet2">
    <tabColor rgb="FF92D050"/>
  </sheetPr>
  <dimension ref="B1:Y41"/>
  <sheetViews>
    <sheetView tabSelected="1" zoomScale="110" zoomScaleNormal="110" workbookViewId="0">
      <selection activeCell="B25" sqref="B25"/>
    </sheetView>
  </sheetViews>
  <sheetFormatPr defaultRowHeight="14.5" x14ac:dyDescent="0.35"/>
  <cols>
    <col min="1" max="1" width="4.08984375" customWidth="1"/>
    <col min="2" max="2" width="35" customWidth="1"/>
    <col min="3" max="3" width="26.81640625" customWidth="1"/>
    <col min="4" max="4" width="17.08984375" customWidth="1"/>
    <col min="5" max="5" width="11.54296875" bestFit="1" customWidth="1"/>
    <col min="6" max="6" width="26.08984375" customWidth="1"/>
    <col min="7" max="7" width="14" customWidth="1"/>
    <col min="8" max="8" width="14.7265625" customWidth="1"/>
    <col min="9" max="9" width="21.90625" customWidth="1"/>
    <col min="10" max="10" width="22.08984375" customWidth="1"/>
    <col min="11" max="11" width="18.54296875" customWidth="1"/>
    <col min="12" max="12" width="16.90625" customWidth="1"/>
    <col min="13" max="13" width="31.90625" customWidth="1"/>
    <col min="14" max="14" width="12.08984375" customWidth="1"/>
    <col min="15" max="15" width="16.6328125" customWidth="1"/>
    <col min="16" max="16" width="15.90625" customWidth="1"/>
    <col min="19" max="19" width="75.08984375" customWidth="1"/>
  </cols>
  <sheetData>
    <row r="1" spans="2:25" x14ac:dyDescent="0.35">
      <c r="H1" t="s">
        <v>114</v>
      </c>
      <c r="L1" t="s">
        <v>105</v>
      </c>
      <c r="P1" t="s">
        <v>145</v>
      </c>
    </row>
    <row r="2" spans="2:25" x14ac:dyDescent="0.35">
      <c r="D2" t="s">
        <v>54</v>
      </c>
      <c r="F2" t="s">
        <v>74</v>
      </c>
      <c r="Y2" t="s">
        <v>158</v>
      </c>
    </row>
    <row r="4" spans="2:25" x14ac:dyDescent="0.35">
      <c r="B4" s="27" t="s">
        <v>120</v>
      </c>
      <c r="C4" s="27" t="s">
        <v>119</v>
      </c>
      <c r="D4" s="27" t="s">
        <v>29</v>
      </c>
      <c r="E4" s="27" t="s">
        <v>26</v>
      </c>
      <c r="F4" t="s">
        <v>34</v>
      </c>
      <c r="G4" t="s">
        <v>29</v>
      </c>
      <c r="H4" t="s">
        <v>115</v>
      </c>
      <c r="I4" t="s">
        <v>102</v>
      </c>
      <c r="J4" t="s">
        <v>104</v>
      </c>
      <c r="K4" t="s">
        <v>103</v>
      </c>
      <c r="L4" t="s">
        <v>110</v>
      </c>
      <c r="M4" t="s">
        <v>32</v>
      </c>
      <c r="N4" t="s">
        <v>76</v>
      </c>
      <c r="O4" t="s">
        <v>77</v>
      </c>
      <c r="P4" t="s">
        <v>78</v>
      </c>
      <c r="Q4" t="s">
        <v>47</v>
      </c>
      <c r="R4" t="s">
        <v>55</v>
      </c>
      <c r="S4" t="s">
        <v>75</v>
      </c>
    </row>
    <row r="5" spans="2:25" x14ac:dyDescent="0.35">
      <c r="B5" s="27"/>
      <c r="C5" s="27"/>
      <c r="D5" s="28" t="s">
        <v>17</v>
      </c>
      <c r="E5" s="28" t="s">
        <v>28</v>
      </c>
      <c r="F5">
        <v>1</v>
      </c>
      <c r="G5">
        <v>13</v>
      </c>
      <c r="H5" s="10">
        <f>(-0.02*G5^2) + (1.12*G5)</f>
        <v>11.180000000000003</v>
      </c>
      <c r="I5">
        <v>11</v>
      </c>
      <c r="J5">
        <v>11.08</v>
      </c>
      <c r="K5" s="12">
        <f t="shared" ref="K5:K11" si="0">I5/3.41</f>
        <v>3.225806451612903</v>
      </c>
      <c r="L5" t="s">
        <v>46</v>
      </c>
      <c r="M5" s="11">
        <v>7</v>
      </c>
      <c r="O5" s="10">
        <f t="shared" ref="O5:O8" si="1">M5</f>
        <v>7</v>
      </c>
      <c r="P5" s="10">
        <f>O5*0.293</f>
        <v>2.0509999999999997</v>
      </c>
      <c r="Q5" s="9">
        <f>P5</f>
        <v>2.0509999999999997</v>
      </c>
      <c r="R5" t="s">
        <v>46</v>
      </c>
      <c r="S5" t="s">
        <v>101</v>
      </c>
      <c r="Y5" s="9">
        <f t="shared" ref="Y5:Y14" si="2">(0.624*O5)-(0.026*O5^2)</f>
        <v>3.0940000000000003</v>
      </c>
    </row>
    <row r="6" spans="2:25" x14ac:dyDescent="0.35">
      <c r="B6" s="27" t="s">
        <v>121</v>
      </c>
      <c r="C6" s="29" t="s">
        <v>116</v>
      </c>
      <c r="D6" s="30" t="s">
        <v>13</v>
      </c>
      <c r="E6" s="30" t="s">
        <v>33</v>
      </c>
      <c r="F6" s="23">
        <v>1</v>
      </c>
      <c r="G6" s="23">
        <v>14</v>
      </c>
      <c r="H6" s="24">
        <f t="shared" ref="H6:H14" si="3">(-0.02*G6^2) + (1.12*G6)</f>
        <v>11.760000000000002</v>
      </c>
      <c r="I6" s="23">
        <v>11</v>
      </c>
      <c r="J6" s="23"/>
      <c r="K6" s="25">
        <f t="shared" si="0"/>
        <v>3.225806451612903</v>
      </c>
      <c r="L6" s="23" t="s">
        <v>46</v>
      </c>
      <c r="M6" s="23">
        <v>8</v>
      </c>
      <c r="N6" s="23"/>
      <c r="O6" s="24">
        <v>8</v>
      </c>
      <c r="P6" s="24">
        <f t="shared" ref="P6:P7" si="4">O6*0.293</f>
        <v>2.3439999999999999</v>
      </c>
      <c r="Q6" s="26">
        <f t="shared" ref="Q6:Q8" si="5">P6</f>
        <v>2.3439999999999999</v>
      </c>
      <c r="R6" s="23" t="s">
        <v>46</v>
      </c>
      <c r="S6" s="23" t="s">
        <v>100</v>
      </c>
      <c r="Y6" s="9">
        <f t="shared" si="2"/>
        <v>3.3280000000000003</v>
      </c>
    </row>
    <row r="7" spans="2:25" x14ac:dyDescent="0.35">
      <c r="B7" s="27"/>
      <c r="C7" s="29" t="s">
        <v>117</v>
      </c>
      <c r="D7" s="30" t="s">
        <v>96</v>
      </c>
      <c r="E7" s="30" t="s">
        <v>33</v>
      </c>
      <c r="F7" s="23">
        <v>1</v>
      </c>
      <c r="G7" s="23">
        <v>14.5</v>
      </c>
      <c r="H7" s="24">
        <f t="shared" si="3"/>
        <v>12.035000000000002</v>
      </c>
      <c r="I7" s="23">
        <v>11.7</v>
      </c>
      <c r="J7" s="23"/>
      <c r="K7" s="25">
        <f t="shared" si="0"/>
        <v>3.4310850439882694</v>
      </c>
      <c r="L7" s="23" t="s">
        <v>46</v>
      </c>
      <c r="M7" s="23">
        <v>8.1999999999999993</v>
      </c>
      <c r="N7" s="23"/>
      <c r="O7" s="24">
        <v>8.1999999999999993</v>
      </c>
      <c r="P7" s="24">
        <f t="shared" si="4"/>
        <v>2.4025999999999996</v>
      </c>
      <c r="Q7" s="26">
        <f t="shared" si="5"/>
        <v>2.4025999999999996</v>
      </c>
      <c r="R7" s="23" t="s">
        <v>46</v>
      </c>
      <c r="S7" s="23" t="s">
        <v>99</v>
      </c>
      <c r="Y7" s="9">
        <f t="shared" si="2"/>
        <v>3.3685599999999996</v>
      </c>
    </row>
    <row r="8" spans="2:25" x14ac:dyDescent="0.35">
      <c r="B8" s="27"/>
      <c r="C8" s="29" t="s">
        <v>118</v>
      </c>
      <c r="D8" s="31" t="s">
        <v>18</v>
      </c>
      <c r="E8" s="31" t="s">
        <v>33</v>
      </c>
      <c r="F8" s="23">
        <v>1</v>
      </c>
      <c r="G8" s="23">
        <v>15</v>
      </c>
      <c r="H8" s="24">
        <f t="shared" si="3"/>
        <v>12.3</v>
      </c>
      <c r="I8" s="23">
        <v>12.2</v>
      </c>
      <c r="J8" s="23"/>
      <c r="K8" s="25">
        <f t="shared" si="0"/>
        <v>3.577712609970674</v>
      </c>
      <c r="L8" s="23" t="s">
        <v>46</v>
      </c>
      <c r="M8" s="23">
        <v>8.8000000000000007</v>
      </c>
      <c r="N8" s="23"/>
      <c r="O8" s="24">
        <f t="shared" si="1"/>
        <v>8.8000000000000007</v>
      </c>
      <c r="P8" s="24">
        <f t="shared" ref="P8:P14" si="6">O8*0.293</f>
        <v>2.5784000000000002</v>
      </c>
      <c r="Q8" s="26">
        <f t="shared" si="5"/>
        <v>2.5784000000000002</v>
      </c>
      <c r="R8" s="23" t="s">
        <v>46</v>
      </c>
      <c r="S8" s="23" t="s">
        <v>113</v>
      </c>
      <c r="Y8" s="9">
        <f t="shared" si="2"/>
        <v>3.47776</v>
      </c>
    </row>
    <row r="9" spans="2:25" x14ac:dyDescent="0.35">
      <c r="B9" s="27"/>
      <c r="C9" s="27"/>
      <c r="D9" s="27" t="s">
        <v>19</v>
      </c>
      <c r="E9" s="27" t="s">
        <v>35</v>
      </c>
      <c r="F9">
        <v>2</v>
      </c>
      <c r="G9">
        <v>16</v>
      </c>
      <c r="H9" s="10">
        <f t="shared" si="3"/>
        <v>12.8</v>
      </c>
      <c r="I9">
        <v>12.2</v>
      </c>
      <c r="K9" s="12">
        <f t="shared" si="0"/>
        <v>3.577712609970674</v>
      </c>
      <c r="L9" s="12">
        <f t="shared" ref="L9:L14" si="7">(G9*1.12-0.02*G9^2)/3.41</f>
        <v>3.7536656891495603</v>
      </c>
      <c r="M9">
        <v>9</v>
      </c>
      <c r="O9" s="10">
        <f>M9</f>
        <v>9</v>
      </c>
      <c r="P9" s="10">
        <f t="shared" si="6"/>
        <v>2.637</v>
      </c>
      <c r="Q9" s="9">
        <f t="shared" ref="Q9:R14" si="8">P9</f>
        <v>2.637</v>
      </c>
      <c r="R9" s="9">
        <f>Q9</f>
        <v>2.637</v>
      </c>
      <c r="Y9" s="9">
        <f t="shared" si="2"/>
        <v>3.51</v>
      </c>
    </row>
    <row r="10" spans="2:25" x14ac:dyDescent="0.35">
      <c r="B10" s="27"/>
      <c r="C10" s="27"/>
      <c r="D10" s="27" t="s">
        <v>20</v>
      </c>
      <c r="E10" s="27" t="s">
        <v>35</v>
      </c>
      <c r="F10">
        <v>2</v>
      </c>
      <c r="G10">
        <v>17</v>
      </c>
      <c r="H10" s="10">
        <f t="shared" si="3"/>
        <v>13.260000000000002</v>
      </c>
      <c r="I10">
        <v>12.2</v>
      </c>
      <c r="K10" s="12">
        <f t="shared" si="0"/>
        <v>3.577712609970674</v>
      </c>
      <c r="L10" s="12">
        <f t="shared" si="7"/>
        <v>3.8885630498533725</v>
      </c>
      <c r="M10">
        <v>9.4</v>
      </c>
      <c r="N10" s="7">
        <v>9.3308846761453346</v>
      </c>
      <c r="O10" s="10">
        <f>M10</f>
        <v>9.4</v>
      </c>
      <c r="P10" s="10">
        <f t="shared" si="6"/>
        <v>2.7542</v>
      </c>
      <c r="Q10" s="9">
        <f t="shared" si="8"/>
        <v>2.7542</v>
      </c>
      <c r="R10" s="9">
        <f t="shared" si="8"/>
        <v>2.7542</v>
      </c>
      <c r="Y10" s="9">
        <f t="shared" si="2"/>
        <v>3.5682400000000003</v>
      </c>
    </row>
    <row r="11" spans="2:25" x14ac:dyDescent="0.35">
      <c r="B11" s="27"/>
      <c r="C11" s="27"/>
      <c r="D11" s="27" t="s">
        <v>21</v>
      </c>
      <c r="E11" s="27" t="s">
        <v>35</v>
      </c>
      <c r="F11">
        <v>2</v>
      </c>
      <c r="G11">
        <v>18</v>
      </c>
      <c r="H11" s="10">
        <f t="shared" si="3"/>
        <v>13.680000000000003</v>
      </c>
      <c r="I11">
        <v>12.2</v>
      </c>
      <c r="J11">
        <v>12.1</v>
      </c>
      <c r="K11" s="12">
        <f t="shared" si="0"/>
        <v>3.577712609970674</v>
      </c>
      <c r="L11" s="12">
        <f t="shared" si="7"/>
        <v>4.0117302052785933</v>
      </c>
      <c r="M11">
        <v>9.6999999999999993</v>
      </c>
      <c r="N11" s="7">
        <v>9.5837000000000092</v>
      </c>
      <c r="O11" s="10">
        <f>AVERAGE(N11:N12)</f>
        <v>9.5179678861788837</v>
      </c>
      <c r="P11" s="10">
        <f t="shared" si="6"/>
        <v>2.7887645906504126</v>
      </c>
      <c r="Q11" s="9">
        <f t="shared" si="8"/>
        <v>2.7887645906504126</v>
      </c>
      <c r="R11" s="9">
        <f t="shared" si="8"/>
        <v>2.7887645906504126</v>
      </c>
      <c r="Y11" s="9">
        <f t="shared" si="2"/>
        <v>3.5838274312349783</v>
      </c>
    </row>
    <row r="12" spans="2:25" x14ac:dyDescent="0.35">
      <c r="B12" s="27"/>
      <c r="C12" s="27"/>
      <c r="D12" s="27" t="s">
        <v>22</v>
      </c>
      <c r="E12" s="27" t="s">
        <v>35</v>
      </c>
      <c r="F12">
        <v>2</v>
      </c>
      <c r="G12">
        <v>19</v>
      </c>
      <c r="H12" s="10">
        <f t="shared" si="3"/>
        <v>14.060000000000002</v>
      </c>
      <c r="I12">
        <v>12.2</v>
      </c>
      <c r="J12">
        <v>12.7</v>
      </c>
      <c r="K12" s="12">
        <f>J12/3.41</f>
        <v>3.724340175953079</v>
      </c>
      <c r="L12" s="12">
        <f t="shared" si="7"/>
        <v>4.1231671554252207</v>
      </c>
      <c r="N12" s="8">
        <v>9.4522357723577599</v>
      </c>
      <c r="O12" s="6">
        <f>AVERAGE(N11:N12)</f>
        <v>9.5179678861788837</v>
      </c>
      <c r="P12" s="10">
        <f t="shared" si="6"/>
        <v>2.7887645906504126</v>
      </c>
      <c r="Q12" s="9">
        <f t="shared" si="8"/>
        <v>2.7887645906504126</v>
      </c>
      <c r="R12" s="9">
        <f t="shared" si="8"/>
        <v>2.7887645906504126</v>
      </c>
      <c r="Y12" s="9">
        <f t="shared" si="2"/>
        <v>3.5838274312349783</v>
      </c>
    </row>
    <row r="13" spans="2:25" x14ac:dyDescent="0.35">
      <c r="B13" s="27"/>
      <c r="C13" s="27"/>
      <c r="D13" s="27" t="s">
        <v>23</v>
      </c>
      <c r="E13" s="27" t="s">
        <v>35</v>
      </c>
      <c r="F13">
        <v>2</v>
      </c>
      <c r="G13">
        <v>20</v>
      </c>
      <c r="H13" s="10">
        <f t="shared" si="3"/>
        <v>14.400000000000002</v>
      </c>
      <c r="I13">
        <v>12.2</v>
      </c>
      <c r="J13">
        <v>13.04</v>
      </c>
      <c r="K13" s="12">
        <f>J13/3.41</f>
        <v>3.8240469208211141</v>
      </c>
      <c r="L13" s="12">
        <f t="shared" si="7"/>
        <v>4.2228739002932558</v>
      </c>
      <c r="N13" s="8">
        <v>9.9568720379146907</v>
      </c>
      <c r="O13" s="6">
        <f>N13</f>
        <v>9.9568720379146907</v>
      </c>
      <c r="P13" s="10">
        <f t="shared" si="6"/>
        <v>2.9173635071090041</v>
      </c>
      <c r="Q13" s="9">
        <f t="shared" si="8"/>
        <v>2.9173635071090041</v>
      </c>
      <c r="R13" s="9">
        <f t="shared" si="8"/>
        <v>2.9173635071090041</v>
      </c>
      <c r="Y13" s="9">
        <f t="shared" si="2"/>
        <v>3.6354663313941735</v>
      </c>
    </row>
    <row r="14" spans="2:25" x14ac:dyDescent="0.35">
      <c r="B14" s="27"/>
      <c r="C14" s="27"/>
      <c r="D14" s="27" t="s">
        <v>24</v>
      </c>
      <c r="E14" s="27" t="s">
        <v>35</v>
      </c>
      <c r="F14">
        <v>2</v>
      </c>
      <c r="G14">
        <v>21</v>
      </c>
      <c r="H14" s="10">
        <f t="shared" si="3"/>
        <v>14.700000000000003</v>
      </c>
      <c r="I14">
        <v>12.2</v>
      </c>
      <c r="J14">
        <v>13.43</v>
      </c>
      <c r="K14" s="12">
        <f>J14/3.41</f>
        <v>3.9384164222873896</v>
      </c>
      <c r="L14" s="12">
        <f t="shared" si="7"/>
        <v>4.3108504398826986</v>
      </c>
      <c r="N14" s="8">
        <v>10.54862385321101</v>
      </c>
      <c r="O14" s="6">
        <f>N14</f>
        <v>10.54862385321101</v>
      </c>
      <c r="P14" s="10">
        <f t="shared" si="6"/>
        <v>3.0907467889908258</v>
      </c>
      <c r="Q14" s="9">
        <f t="shared" si="8"/>
        <v>3.0907467889908258</v>
      </c>
      <c r="R14" s="9">
        <f t="shared" si="8"/>
        <v>3.0907467889908258</v>
      </c>
      <c r="Y14" s="9">
        <f t="shared" si="2"/>
        <v>3.6892311892938312</v>
      </c>
    </row>
    <row r="18" spans="3:13" ht="15" thickBot="1" x14ac:dyDescent="0.4">
      <c r="D18" t="s">
        <v>108</v>
      </c>
    </row>
    <row r="19" spans="3:13" x14ac:dyDescent="0.35"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5"/>
    </row>
    <row r="20" spans="3:13" x14ac:dyDescent="0.35">
      <c r="C20" s="16" t="s">
        <v>109</v>
      </c>
      <c r="D20" t="s">
        <v>111</v>
      </c>
      <c r="E20" t="s">
        <v>88</v>
      </c>
      <c r="F20" t="s">
        <v>90</v>
      </c>
      <c r="G20" t="s">
        <v>89</v>
      </c>
      <c r="I20" t="s">
        <v>91</v>
      </c>
      <c r="J20" t="s">
        <v>94</v>
      </c>
      <c r="K20" t="s">
        <v>106</v>
      </c>
      <c r="L20" t="s">
        <v>92</v>
      </c>
      <c r="M20" s="17"/>
    </row>
    <row r="21" spans="3:13" x14ac:dyDescent="0.35">
      <c r="C21" s="16" t="str">
        <f>"HSPF_7p0_"&amp;D21</f>
        <v>HSPF_7p0_SEER_13_Pre</v>
      </c>
      <c r="D21" t="s">
        <v>80</v>
      </c>
      <c r="F21">
        <v>0.12</v>
      </c>
      <c r="G21">
        <v>0.24</v>
      </c>
      <c r="I21" s="12">
        <f>ROUND(K5,2)</f>
        <v>3.23</v>
      </c>
      <c r="L21" s="12">
        <f t="shared" ref="L21:L30" si="9">Q5</f>
        <v>2.0509999999999997</v>
      </c>
      <c r="M21" s="17"/>
    </row>
    <row r="22" spans="3:13" ht="43.5" x14ac:dyDescent="0.35">
      <c r="C22" s="16" t="str">
        <f>"HSPF_8p0_"&amp;D22</f>
        <v>HSPF_8p0_SEER_14_Std</v>
      </c>
      <c r="D22" s="11" t="s">
        <v>97</v>
      </c>
      <c r="F22">
        <v>0.12</v>
      </c>
      <c r="G22">
        <v>0.24</v>
      </c>
      <c r="I22" s="12">
        <f t="shared" ref="I22:I30" si="10">ROUND(K6,2)</f>
        <v>3.23</v>
      </c>
      <c r="L22" s="9">
        <f t="shared" si="9"/>
        <v>2.3439999999999999</v>
      </c>
      <c r="M22" s="22" t="s">
        <v>112</v>
      </c>
    </row>
    <row r="23" spans="3:13" x14ac:dyDescent="0.35">
      <c r="C23" s="16" t="str">
        <f>"HSPF_8p2_"&amp;D23</f>
        <v>HSPF_8p2_SEER_14.5_Std</v>
      </c>
      <c r="D23" s="11" t="s">
        <v>98</v>
      </c>
      <c r="F23">
        <v>0.12</v>
      </c>
      <c r="G23">
        <v>0.24</v>
      </c>
      <c r="I23" s="12">
        <f t="shared" si="10"/>
        <v>3.43</v>
      </c>
      <c r="L23" s="9">
        <f t="shared" si="9"/>
        <v>2.4025999999999996</v>
      </c>
      <c r="M23" s="17"/>
    </row>
    <row r="24" spans="3:13" x14ac:dyDescent="0.35">
      <c r="C24" s="16" t="str">
        <f>"HSPF_8p8_"&amp;D24</f>
        <v>HSPF_8p8_SEER_15_Std</v>
      </c>
      <c r="D24" t="s">
        <v>81</v>
      </c>
      <c r="F24">
        <v>0.12</v>
      </c>
      <c r="G24">
        <v>0.24</v>
      </c>
      <c r="I24" s="12">
        <f t="shared" si="10"/>
        <v>3.58</v>
      </c>
      <c r="L24" s="9">
        <f t="shared" si="9"/>
        <v>2.5784000000000002</v>
      </c>
      <c r="M24" s="17"/>
    </row>
    <row r="25" spans="3:13" x14ac:dyDescent="0.35">
      <c r="C25" s="16" t="str">
        <f>"HSPF_9p0_"&amp;D25</f>
        <v>HSPF_9p0_SEER_16_Msr</v>
      </c>
      <c r="D25" t="s">
        <v>82</v>
      </c>
      <c r="E25" t="s">
        <v>93</v>
      </c>
      <c r="F25">
        <v>0.25</v>
      </c>
      <c r="G25">
        <v>0.5</v>
      </c>
      <c r="I25" s="12">
        <f t="shared" si="10"/>
        <v>3.58</v>
      </c>
      <c r="J25" t="s">
        <v>95</v>
      </c>
      <c r="K25" s="12">
        <f>L9</f>
        <v>3.7536656891495603</v>
      </c>
      <c r="L25" s="9">
        <f t="shared" si="9"/>
        <v>2.637</v>
      </c>
      <c r="M25" s="17"/>
    </row>
    <row r="26" spans="3:13" x14ac:dyDescent="0.35">
      <c r="C26" s="16" t="str">
        <f>"HSPF_9p4_"&amp;D26</f>
        <v>HSPF_9p4_SEER_17_Msr</v>
      </c>
      <c r="D26" t="s">
        <v>83</v>
      </c>
      <c r="E26" t="s">
        <v>93</v>
      </c>
      <c r="F26">
        <v>0.25</v>
      </c>
      <c r="G26">
        <v>0.5</v>
      </c>
      <c r="I26" s="12">
        <f t="shared" si="10"/>
        <v>3.58</v>
      </c>
      <c r="J26" t="s">
        <v>95</v>
      </c>
      <c r="K26" s="12">
        <f t="shared" ref="K26:K30" si="11">L10</f>
        <v>3.8885630498533725</v>
      </c>
      <c r="L26" s="9">
        <f t="shared" si="9"/>
        <v>2.7542</v>
      </c>
      <c r="M26" s="17"/>
    </row>
    <row r="27" spans="3:13" x14ac:dyDescent="0.35">
      <c r="C27" s="16" t="str">
        <f>"HSPF_9p5_"&amp;D27</f>
        <v>HSPF_9p5_SEER_18_Msr</v>
      </c>
      <c r="D27" t="s">
        <v>84</v>
      </c>
      <c r="E27" t="s">
        <v>93</v>
      </c>
      <c r="F27">
        <v>0.25</v>
      </c>
      <c r="G27">
        <v>0.5</v>
      </c>
      <c r="I27" s="12">
        <f t="shared" si="10"/>
        <v>3.58</v>
      </c>
      <c r="J27" t="s">
        <v>95</v>
      </c>
      <c r="K27" s="12">
        <f t="shared" si="11"/>
        <v>4.0117302052785933</v>
      </c>
      <c r="L27" s="9">
        <f t="shared" si="9"/>
        <v>2.7887645906504126</v>
      </c>
      <c r="M27" s="17"/>
    </row>
    <row r="28" spans="3:13" x14ac:dyDescent="0.35">
      <c r="C28" s="16" t="str">
        <f>"HSPF_9p5_"&amp;D28</f>
        <v>HSPF_9p5_SEER_19_Msr</v>
      </c>
      <c r="D28" t="s">
        <v>85</v>
      </c>
      <c r="E28" t="s">
        <v>93</v>
      </c>
      <c r="F28">
        <v>0.25</v>
      </c>
      <c r="G28">
        <v>0.5</v>
      </c>
      <c r="I28" s="12">
        <f t="shared" si="10"/>
        <v>3.72</v>
      </c>
      <c r="J28" t="s">
        <v>95</v>
      </c>
      <c r="K28" s="12">
        <f t="shared" si="11"/>
        <v>4.1231671554252207</v>
      </c>
      <c r="L28" s="9">
        <f t="shared" si="9"/>
        <v>2.7887645906504126</v>
      </c>
      <c r="M28" s="17"/>
    </row>
    <row r="29" spans="3:13" x14ac:dyDescent="0.35">
      <c r="C29" s="16" t="str">
        <f>"HSPF_10p0_"&amp;D29</f>
        <v>HSPF_10p0_SEER_20_Msr</v>
      </c>
      <c r="D29" t="s">
        <v>86</v>
      </c>
      <c r="E29" t="s">
        <v>93</v>
      </c>
      <c r="F29">
        <v>0.25</v>
      </c>
      <c r="G29">
        <v>0.5</v>
      </c>
      <c r="I29" s="12">
        <f t="shared" si="10"/>
        <v>3.82</v>
      </c>
      <c r="J29" t="s">
        <v>95</v>
      </c>
      <c r="K29" s="12">
        <f t="shared" si="11"/>
        <v>4.2228739002932558</v>
      </c>
      <c r="L29" s="9">
        <f t="shared" si="9"/>
        <v>2.9173635071090041</v>
      </c>
      <c r="M29" s="17"/>
    </row>
    <row r="30" spans="3:13" x14ac:dyDescent="0.35">
      <c r="C30" s="16" t="str">
        <f>"HSPF_10p5_"&amp;D30</f>
        <v>HSPF_10p5_SEER_21_Msr</v>
      </c>
      <c r="D30" t="s">
        <v>87</v>
      </c>
      <c r="E30" t="s">
        <v>93</v>
      </c>
      <c r="F30">
        <v>0.25</v>
      </c>
      <c r="G30">
        <v>0.5</v>
      </c>
      <c r="I30" s="12">
        <f t="shared" si="10"/>
        <v>3.94</v>
      </c>
      <c r="J30" t="s">
        <v>95</v>
      </c>
      <c r="K30" s="12">
        <f t="shared" si="11"/>
        <v>4.3108504398826986</v>
      </c>
      <c r="L30" s="9">
        <f t="shared" si="9"/>
        <v>3.0907467889908258</v>
      </c>
      <c r="M30" s="17"/>
    </row>
    <row r="31" spans="3:13" ht="15" thickBot="1" x14ac:dyDescent="0.4"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20"/>
    </row>
    <row r="32" spans="3:13" x14ac:dyDescent="0.35">
      <c r="D32" t="s">
        <v>107</v>
      </c>
    </row>
    <row r="33" spans="4:11" x14ac:dyDescent="0.35">
      <c r="D33" s="21" t="s">
        <v>79</v>
      </c>
      <c r="E33" s="21" t="s">
        <v>88</v>
      </c>
      <c r="F33" s="21" t="s">
        <v>90</v>
      </c>
      <c r="G33" s="21" t="s">
        <v>89</v>
      </c>
      <c r="H33" s="21"/>
      <c r="I33" s="21" t="s">
        <v>91</v>
      </c>
      <c r="J33" s="21" t="s">
        <v>94</v>
      </c>
      <c r="K33" s="21" t="s">
        <v>92</v>
      </c>
    </row>
    <row r="34" spans="4:11" x14ac:dyDescent="0.35">
      <c r="D34" s="21" t="s">
        <v>80</v>
      </c>
      <c r="E34" s="21"/>
      <c r="F34" s="21">
        <v>0.12</v>
      </c>
      <c r="G34" s="21">
        <v>0.24</v>
      </c>
      <c r="H34" s="21"/>
      <c r="I34" s="21">
        <v>3.28</v>
      </c>
      <c r="J34" s="21"/>
      <c r="K34" s="21">
        <v>2.3439999999999999</v>
      </c>
    </row>
    <row r="35" spans="4:11" x14ac:dyDescent="0.35">
      <c r="D35" s="21" t="s">
        <v>81</v>
      </c>
      <c r="E35" s="21"/>
      <c r="F35" s="21">
        <v>0.12</v>
      </c>
      <c r="G35" s="21">
        <v>0.24</v>
      </c>
      <c r="H35" s="21"/>
      <c r="I35" s="21">
        <v>3.61</v>
      </c>
      <c r="J35" s="21"/>
      <c r="K35" s="21">
        <v>2.5784000000000002</v>
      </c>
    </row>
    <row r="36" spans="4:11" x14ac:dyDescent="0.35">
      <c r="D36" s="21" t="s">
        <v>82</v>
      </c>
      <c r="E36" s="21" t="s">
        <v>93</v>
      </c>
      <c r="F36" s="21">
        <v>0.25</v>
      </c>
      <c r="G36" s="21">
        <v>0.5</v>
      </c>
      <c r="H36" s="21"/>
      <c r="I36" s="21">
        <v>3.75</v>
      </c>
      <c r="J36" s="21" t="s">
        <v>95</v>
      </c>
      <c r="K36" s="21">
        <v>2.637</v>
      </c>
    </row>
    <row r="37" spans="4:11" x14ac:dyDescent="0.35">
      <c r="D37" s="21" t="s">
        <v>83</v>
      </c>
      <c r="E37" s="21" t="s">
        <v>93</v>
      </c>
      <c r="F37" s="21">
        <v>0.25</v>
      </c>
      <c r="G37" s="21">
        <v>0.5</v>
      </c>
      <c r="H37" s="21"/>
      <c r="I37" s="21">
        <v>3.89</v>
      </c>
      <c r="J37" s="21" t="s">
        <v>95</v>
      </c>
      <c r="K37" s="21">
        <v>2.7542</v>
      </c>
    </row>
    <row r="38" spans="4:11" x14ac:dyDescent="0.35">
      <c r="D38" s="21" t="s">
        <v>84</v>
      </c>
      <c r="E38" s="21" t="s">
        <v>93</v>
      </c>
      <c r="F38" s="21">
        <v>0.25</v>
      </c>
      <c r="G38" s="21">
        <v>0.5</v>
      </c>
      <c r="H38" s="21"/>
      <c r="I38" s="21">
        <v>4.01</v>
      </c>
      <c r="J38" s="21" t="s">
        <v>95</v>
      </c>
      <c r="K38" s="21">
        <v>2.7887645906504126</v>
      </c>
    </row>
    <row r="39" spans="4:11" x14ac:dyDescent="0.35">
      <c r="D39" s="21" t="s">
        <v>85</v>
      </c>
      <c r="E39" s="21" t="s">
        <v>93</v>
      </c>
      <c r="F39" s="21">
        <v>0.25</v>
      </c>
      <c r="G39" s="21">
        <v>0.5</v>
      </c>
      <c r="H39" s="21"/>
      <c r="I39" s="21">
        <v>4.12</v>
      </c>
      <c r="J39" s="21" t="s">
        <v>95</v>
      </c>
      <c r="K39" s="21">
        <v>2.7887645906504126</v>
      </c>
    </row>
    <row r="40" spans="4:11" x14ac:dyDescent="0.35">
      <c r="D40" s="21" t="s">
        <v>86</v>
      </c>
      <c r="E40" s="21" t="s">
        <v>93</v>
      </c>
      <c r="F40" s="21">
        <v>0.25</v>
      </c>
      <c r="G40" s="21">
        <v>0.5</v>
      </c>
      <c r="H40" s="21"/>
      <c r="I40" s="21">
        <v>4.22</v>
      </c>
      <c r="J40" s="21" t="s">
        <v>95</v>
      </c>
      <c r="K40" s="21">
        <v>2.9173635071090041</v>
      </c>
    </row>
    <row r="41" spans="4:11" x14ac:dyDescent="0.35">
      <c r="D41" s="21" t="s">
        <v>87</v>
      </c>
      <c r="E41" s="21" t="s">
        <v>93</v>
      </c>
      <c r="F41" s="21">
        <v>0.25</v>
      </c>
      <c r="G41" s="21">
        <v>0.5</v>
      </c>
      <c r="H41" s="21"/>
      <c r="I41" s="21">
        <v>4.3099999999999996</v>
      </c>
      <c r="J41" s="21" t="s">
        <v>95</v>
      </c>
      <c r="K41" s="21">
        <v>3.0907467889908258</v>
      </c>
    </row>
  </sheetData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13AC-7E47-44FA-AA2E-E1D33B145C17}">
  <sheetPr codeName="Sheet3"/>
  <dimension ref="A1:S65"/>
  <sheetViews>
    <sheetView zoomScale="214" zoomScaleNormal="214" workbookViewId="0">
      <selection activeCell="U7" sqref="U7"/>
    </sheetView>
  </sheetViews>
  <sheetFormatPr defaultRowHeight="14.5" x14ac:dyDescent="0.35"/>
  <cols>
    <col min="17" max="17" width="15.36328125" customWidth="1"/>
    <col min="18" max="18" width="9.6328125" bestFit="1" customWidth="1"/>
  </cols>
  <sheetData>
    <row r="1" spans="1:12" x14ac:dyDescent="0.35">
      <c r="A1" t="s">
        <v>142</v>
      </c>
    </row>
    <row r="2" spans="1:12" x14ac:dyDescent="0.35">
      <c r="A2" t="s">
        <v>141</v>
      </c>
    </row>
    <row r="3" spans="1:12" x14ac:dyDescent="0.35">
      <c r="A3" t="s">
        <v>0</v>
      </c>
      <c r="L3" t="s">
        <v>10</v>
      </c>
    </row>
    <row r="5" spans="1:12" x14ac:dyDescent="0.35">
      <c r="A5" t="s">
        <v>2</v>
      </c>
    </row>
    <row r="10" spans="1:12" x14ac:dyDescent="0.35">
      <c r="L10" t="s">
        <v>11</v>
      </c>
    </row>
    <row r="19" spans="1:19" x14ac:dyDescent="0.35">
      <c r="A19" t="s">
        <v>3</v>
      </c>
    </row>
    <row r="21" spans="1:19" x14ac:dyDescent="0.35">
      <c r="M21" t="s">
        <v>56</v>
      </c>
    </row>
    <row r="22" spans="1:19" x14ac:dyDescent="0.35">
      <c r="M22" t="s">
        <v>57</v>
      </c>
    </row>
    <row r="24" spans="1:19" x14ac:dyDescent="0.35">
      <c r="N24" t="s">
        <v>58</v>
      </c>
      <c r="O24" t="s">
        <v>59</v>
      </c>
      <c r="P24" t="s">
        <v>60</v>
      </c>
      <c r="Q24" t="s">
        <v>61</v>
      </c>
      <c r="R24" t="s">
        <v>62</v>
      </c>
      <c r="S24" t="s">
        <v>63</v>
      </c>
    </row>
    <row r="25" spans="1:19" x14ac:dyDescent="0.35">
      <c r="M25" t="s">
        <v>64</v>
      </c>
      <c r="N25">
        <v>1.5573600000000001</v>
      </c>
      <c r="O25">
        <v>-7.4448E-2</v>
      </c>
      <c r="P25">
        <v>3.0990000000000002E-3</v>
      </c>
      <c r="Q25">
        <v>1.4599999999999999E-3</v>
      </c>
      <c r="R25">
        <v>-4.1E-5</v>
      </c>
      <c r="S25">
        <v>-4.2000000000000002E-4</v>
      </c>
    </row>
    <row r="26" spans="1:19" x14ac:dyDescent="0.35">
      <c r="M26" t="s">
        <v>65</v>
      </c>
      <c r="N26">
        <v>-0.35044799999999998</v>
      </c>
      <c r="O26">
        <v>0.11681</v>
      </c>
      <c r="P26">
        <v>-3.3999999999999998E-3</v>
      </c>
      <c r="Q26">
        <v>-1.2260000000000001E-3</v>
      </c>
      <c r="R26">
        <v>6.0099999999999997E-4</v>
      </c>
      <c r="S26">
        <v>-4.6700000000000002E-4</v>
      </c>
    </row>
    <row r="31" spans="1:19" x14ac:dyDescent="0.35">
      <c r="M31" s="34" t="s">
        <v>69</v>
      </c>
      <c r="N31" s="34"/>
      <c r="O31" s="34" t="s">
        <v>70</v>
      </c>
      <c r="P31" s="34"/>
      <c r="Q31" t="s">
        <v>71</v>
      </c>
    </row>
    <row r="32" spans="1:19" x14ac:dyDescent="0.35">
      <c r="M32" t="s">
        <v>66</v>
      </c>
      <c r="N32" t="s">
        <v>67</v>
      </c>
      <c r="O32" t="s">
        <v>66</v>
      </c>
      <c r="P32" t="s">
        <v>67</v>
      </c>
      <c r="Q32" t="s">
        <v>72</v>
      </c>
      <c r="R32" t="s">
        <v>73</v>
      </c>
      <c r="S32" t="s">
        <v>68</v>
      </c>
    </row>
    <row r="33" spans="1:18" x14ac:dyDescent="0.35">
      <c r="A33" t="s">
        <v>4</v>
      </c>
      <c r="M33">
        <v>14</v>
      </c>
      <c r="N33">
        <v>24</v>
      </c>
      <c r="O33">
        <f>(M33*9/5)+32</f>
        <v>57.2</v>
      </c>
      <c r="P33">
        <f>(N33*9/5)+32</f>
        <v>75.2</v>
      </c>
      <c r="Q33">
        <f>$N$25 + ($O$25*M33) + ($P$25*M33^2) + ($Q$25*N33) + ($R$25*N33^2) + ($S$25*M33*N33)</f>
        <v>0.9927959999999999</v>
      </c>
      <c r="R33">
        <f>$N$26 + ($O$26*M33) + ($P$26*M33^2) + ($Q$26*N33) + ($R$26*N33^2) + ($S$26*M33*N33)</f>
        <v>0.77833200000000025</v>
      </c>
    </row>
    <row r="34" spans="1:18" x14ac:dyDescent="0.35">
      <c r="M34">
        <v>17</v>
      </c>
      <c r="N34">
        <v>24</v>
      </c>
      <c r="O34">
        <f t="shared" ref="O34:O44" si="0">(M34*9/5)+32</f>
        <v>62.6</v>
      </c>
      <c r="P34">
        <f t="shared" ref="P34:P44" si="1">(N34*9/5)+32</f>
        <v>75.2</v>
      </c>
      <c r="Q34">
        <f t="shared" ref="Q34:Q44" si="2">$N$25 + ($O$25*M34) + ($P$25*M34^2) + ($Q$25*N34) + ($R$25*N34^2) + ($S$25*M34*N34)</f>
        <v>1.0274190000000001</v>
      </c>
      <c r="R34">
        <f t="shared" ref="R34:R44" si="3">$N$26 + ($O$26*M34) + ($P$26*M34^2) + ($Q$26*N34) + ($R$26*N34^2) + ($S$26*M34*N34)</f>
        <v>0.77893799999999991</v>
      </c>
    </row>
    <row r="35" spans="1:18" x14ac:dyDescent="0.35">
      <c r="M35">
        <v>19</v>
      </c>
      <c r="N35">
        <v>24</v>
      </c>
      <c r="O35">
        <f t="shared" si="0"/>
        <v>66.2</v>
      </c>
      <c r="P35">
        <f t="shared" si="1"/>
        <v>75.2</v>
      </c>
      <c r="Q35">
        <f t="shared" si="2"/>
        <v>1.0814910000000002</v>
      </c>
      <c r="R35">
        <f t="shared" si="3"/>
        <v>0.74534199999999973</v>
      </c>
    </row>
    <row r="36" spans="1:18" x14ac:dyDescent="0.35">
      <c r="M36">
        <v>22</v>
      </c>
      <c r="N36">
        <v>24</v>
      </c>
      <c r="O36">
        <f t="shared" si="0"/>
        <v>71.599999999999994</v>
      </c>
      <c r="P36">
        <f t="shared" si="1"/>
        <v>75.2</v>
      </c>
      <c r="Q36">
        <f t="shared" si="2"/>
        <v>1.209084</v>
      </c>
      <c r="R36">
        <f t="shared" si="3"/>
        <v>0.64394799999999985</v>
      </c>
    </row>
    <row r="37" spans="1:18" x14ac:dyDescent="0.35">
      <c r="M37">
        <v>14</v>
      </c>
      <c r="N37">
        <v>35</v>
      </c>
      <c r="O37">
        <f t="shared" si="0"/>
        <v>57.2</v>
      </c>
      <c r="P37">
        <f t="shared" si="1"/>
        <v>95</v>
      </c>
      <c r="Q37">
        <f t="shared" si="2"/>
        <v>0.91756700000000002</v>
      </c>
      <c r="R37">
        <f t="shared" si="3"/>
        <v>1.0829770000000001</v>
      </c>
    </row>
    <row r="38" spans="1:18" x14ac:dyDescent="0.35">
      <c r="M38">
        <v>17</v>
      </c>
      <c r="N38">
        <v>35</v>
      </c>
      <c r="O38">
        <f t="shared" si="0"/>
        <v>62.6</v>
      </c>
      <c r="P38">
        <f t="shared" si="1"/>
        <v>95</v>
      </c>
      <c r="Q38">
        <f t="shared" si="2"/>
        <v>0.93833000000000011</v>
      </c>
      <c r="R38">
        <f t="shared" si="3"/>
        <v>1.0681719999999999</v>
      </c>
    </row>
    <row r="39" spans="1:18" x14ac:dyDescent="0.35">
      <c r="M39">
        <v>19</v>
      </c>
      <c r="N39">
        <v>35</v>
      </c>
      <c r="O39">
        <f t="shared" si="0"/>
        <v>66.2</v>
      </c>
      <c r="P39">
        <f t="shared" si="1"/>
        <v>95</v>
      </c>
      <c r="Q39">
        <f t="shared" si="2"/>
        <v>0.98316200000000009</v>
      </c>
      <c r="R39">
        <f t="shared" si="3"/>
        <v>1.024302</v>
      </c>
    </row>
    <row r="40" spans="1:18" x14ac:dyDescent="0.35">
      <c r="M40">
        <v>22</v>
      </c>
      <c r="N40">
        <v>35</v>
      </c>
      <c r="O40">
        <f t="shared" si="0"/>
        <v>71.599999999999994</v>
      </c>
      <c r="P40">
        <f t="shared" si="1"/>
        <v>95</v>
      </c>
      <c r="Q40">
        <f t="shared" si="2"/>
        <v>1.096895</v>
      </c>
      <c r="R40">
        <f t="shared" si="3"/>
        <v>0.907497</v>
      </c>
    </row>
    <row r="41" spans="1:18" x14ac:dyDescent="0.35">
      <c r="M41">
        <v>14</v>
      </c>
      <c r="N41">
        <v>40</v>
      </c>
      <c r="O41">
        <f t="shared" si="0"/>
        <v>57.2</v>
      </c>
      <c r="P41">
        <f t="shared" si="1"/>
        <v>104</v>
      </c>
      <c r="Q41">
        <f t="shared" si="2"/>
        <v>0.88009199999999999</v>
      </c>
      <c r="R41">
        <f t="shared" si="3"/>
        <v>1.2695320000000003</v>
      </c>
    </row>
    <row r="42" spans="1:18" x14ac:dyDescent="0.35">
      <c r="M42">
        <v>17</v>
      </c>
      <c r="N42">
        <v>40</v>
      </c>
      <c r="O42">
        <f t="shared" si="0"/>
        <v>62.6</v>
      </c>
      <c r="P42">
        <f t="shared" si="1"/>
        <v>104</v>
      </c>
      <c r="Q42">
        <f t="shared" si="2"/>
        <v>0.89455499999999999</v>
      </c>
      <c r="R42">
        <f t="shared" si="3"/>
        <v>1.247722</v>
      </c>
    </row>
    <row r="43" spans="1:18" x14ac:dyDescent="0.35">
      <c r="M43">
        <v>19</v>
      </c>
      <c r="N43">
        <v>40</v>
      </c>
      <c r="O43">
        <f t="shared" si="0"/>
        <v>66.2</v>
      </c>
      <c r="P43">
        <f t="shared" si="1"/>
        <v>104</v>
      </c>
      <c r="Q43">
        <f t="shared" si="2"/>
        <v>0.9351870000000001</v>
      </c>
      <c r="R43">
        <f t="shared" si="3"/>
        <v>1.199182</v>
      </c>
    </row>
    <row r="44" spans="1:18" x14ac:dyDescent="0.35">
      <c r="M44">
        <v>22</v>
      </c>
      <c r="N44">
        <v>40</v>
      </c>
      <c r="O44">
        <f t="shared" si="0"/>
        <v>71.599999999999994</v>
      </c>
      <c r="P44">
        <f t="shared" si="1"/>
        <v>104</v>
      </c>
      <c r="Q44">
        <f t="shared" si="2"/>
        <v>1.0426200000000001</v>
      </c>
      <c r="R44">
        <f t="shared" si="3"/>
        <v>1.075372</v>
      </c>
    </row>
    <row r="47" spans="1:18" x14ac:dyDescent="0.35">
      <c r="A47" t="s">
        <v>5</v>
      </c>
    </row>
    <row r="48" spans="1:18" x14ac:dyDescent="0.35">
      <c r="M48" s="34" t="s">
        <v>69</v>
      </c>
      <c r="N48" s="34"/>
      <c r="O48" s="34" t="s">
        <v>70</v>
      </c>
      <c r="P48" s="34"/>
      <c r="Q48" t="s">
        <v>71</v>
      </c>
    </row>
    <row r="49" spans="13:19" x14ac:dyDescent="0.35">
      <c r="M49" t="s">
        <v>67</v>
      </c>
      <c r="N49" t="s">
        <v>66</v>
      </c>
      <c r="O49" t="s">
        <v>67</v>
      </c>
      <c r="P49" t="s">
        <v>66</v>
      </c>
      <c r="Q49" t="s">
        <v>72</v>
      </c>
      <c r="R49" t="s">
        <v>73</v>
      </c>
      <c r="S49" t="s">
        <v>68</v>
      </c>
    </row>
    <row r="50" spans="13:19" x14ac:dyDescent="0.35">
      <c r="M50">
        <v>24</v>
      </c>
      <c r="N50">
        <v>14</v>
      </c>
      <c r="O50">
        <f>(M50*9/5)+32</f>
        <v>75.2</v>
      </c>
      <c r="P50">
        <f>(N50*9/5)+32</f>
        <v>57.2</v>
      </c>
      <c r="Q50">
        <f>$N$25 + ($O$25*N50) + ($P$25*N50^2) + ($Q$25*M50) + ($R$25*M50^2) + ($S$25*N50*M50)</f>
        <v>0.9927959999999999</v>
      </c>
      <c r="R50">
        <f>$N$26 + ($O$26*N50) + ($P$26*N50^2) + ($Q$26*M50) + ($R$26*M50^2) + ($S$26*N50*M50)</f>
        <v>0.77833200000000025</v>
      </c>
    </row>
    <row r="51" spans="13:19" x14ac:dyDescent="0.35">
      <c r="M51">
        <v>35</v>
      </c>
      <c r="N51">
        <v>14</v>
      </c>
      <c r="O51">
        <f t="shared" ref="O51:O65" si="4">(M51*9/5)+32</f>
        <v>95</v>
      </c>
      <c r="P51">
        <f t="shared" ref="P51:P65" si="5">(N51*9/5)+32</f>
        <v>57.2</v>
      </c>
      <c r="Q51">
        <f t="shared" ref="Q51:Q65" si="6">$N$25 + ($O$25*N51) + ($P$25*N51^2) + ($Q$25*M51) + ($R$25*M51^2) + ($S$25*N51*M51)</f>
        <v>0.91756700000000002</v>
      </c>
      <c r="R51">
        <f t="shared" ref="R51:R65" si="7">$N$26 + ($O$26*N51) + ($P$26*N51^2) + ($Q$26*M51) + ($R$26*M51^2) + ($S$26*N51*M51)</f>
        <v>1.0829770000000001</v>
      </c>
    </row>
    <row r="52" spans="13:19" x14ac:dyDescent="0.35">
      <c r="M52">
        <v>40</v>
      </c>
      <c r="N52">
        <v>14</v>
      </c>
      <c r="O52">
        <f t="shared" si="4"/>
        <v>104</v>
      </c>
      <c r="P52">
        <f t="shared" si="5"/>
        <v>57.2</v>
      </c>
      <c r="Q52">
        <f t="shared" si="6"/>
        <v>0.88009199999999999</v>
      </c>
      <c r="R52">
        <f t="shared" si="7"/>
        <v>1.2695320000000003</v>
      </c>
    </row>
    <row r="53" spans="13:19" x14ac:dyDescent="0.35">
      <c r="M53">
        <v>45</v>
      </c>
      <c r="N53">
        <v>14</v>
      </c>
      <c r="O53">
        <f t="shared" si="4"/>
        <v>113</v>
      </c>
      <c r="P53">
        <f t="shared" si="5"/>
        <v>57.2</v>
      </c>
      <c r="Q53">
        <f t="shared" si="6"/>
        <v>0.84056700000000029</v>
      </c>
      <c r="R53">
        <f t="shared" si="7"/>
        <v>1.486137</v>
      </c>
    </row>
    <row r="54" spans="13:19" x14ac:dyDescent="0.35">
      <c r="M54">
        <v>24</v>
      </c>
      <c r="N54">
        <v>17</v>
      </c>
      <c r="O54">
        <f t="shared" si="4"/>
        <v>75.2</v>
      </c>
      <c r="P54">
        <f t="shared" si="5"/>
        <v>62.6</v>
      </c>
      <c r="Q54">
        <f t="shared" si="6"/>
        <v>1.0274190000000001</v>
      </c>
      <c r="R54">
        <f t="shared" si="7"/>
        <v>0.77893799999999991</v>
      </c>
    </row>
    <row r="55" spans="13:19" x14ac:dyDescent="0.35">
      <c r="M55">
        <v>35</v>
      </c>
      <c r="N55">
        <v>17</v>
      </c>
      <c r="O55">
        <f t="shared" si="4"/>
        <v>95</v>
      </c>
      <c r="P55">
        <f t="shared" si="5"/>
        <v>62.6</v>
      </c>
      <c r="Q55">
        <f t="shared" si="6"/>
        <v>0.93833000000000011</v>
      </c>
      <c r="R55">
        <f t="shared" si="7"/>
        <v>1.0681719999999999</v>
      </c>
    </row>
    <row r="56" spans="13:19" x14ac:dyDescent="0.35">
      <c r="M56">
        <v>40</v>
      </c>
      <c r="N56">
        <v>17</v>
      </c>
      <c r="O56">
        <f t="shared" si="4"/>
        <v>104</v>
      </c>
      <c r="P56">
        <f t="shared" si="5"/>
        <v>62.6</v>
      </c>
      <c r="Q56">
        <f t="shared" si="6"/>
        <v>0.89455499999999999</v>
      </c>
      <c r="R56">
        <f t="shared" si="7"/>
        <v>1.247722</v>
      </c>
    </row>
    <row r="57" spans="13:19" x14ac:dyDescent="0.35">
      <c r="M57">
        <v>45</v>
      </c>
      <c r="N57">
        <v>17</v>
      </c>
      <c r="O57">
        <f t="shared" si="4"/>
        <v>113</v>
      </c>
      <c r="P57">
        <f t="shared" si="5"/>
        <v>62.6</v>
      </c>
      <c r="Q57">
        <f t="shared" si="6"/>
        <v>0.84873000000000032</v>
      </c>
      <c r="R57">
        <f t="shared" si="7"/>
        <v>1.457322</v>
      </c>
    </row>
    <row r="58" spans="13:19" x14ac:dyDescent="0.35">
      <c r="M58">
        <v>24</v>
      </c>
      <c r="N58">
        <v>19</v>
      </c>
      <c r="O58">
        <f t="shared" si="4"/>
        <v>75.2</v>
      </c>
      <c r="P58">
        <f t="shared" si="5"/>
        <v>66.2</v>
      </c>
      <c r="Q58">
        <f t="shared" si="6"/>
        <v>1.0814910000000002</v>
      </c>
      <c r="R58">
        <f t="shared" si="7"/>
        <v>0.74534199999999973</v>
      </c>
    </row>
    <row r="59" spans="13:19" x14ac:dyDescent="0.35">
      <c r="M59">
        <v>35</v>
      </c>
      <c r="N59">
        <v>19</v>
      </c>
      <c r="O59">
        <f t="shared" si="4"/>
        <v>95</v>
      </c>
      <c r="P59">
        <f t="shared" si="5"/>
        <v>66.2</v>
      </c>
      <c r="Q59">
        <f t="shared" si="6"/>
        <v>0.98316200000000009</v>
      </c>
      <c r="R59">
        <f t="shared" si="7"/>
        <v>1.024302</v>
      </c>
    </row>
    <row r="60" spans="13:19" x14ac:dyDescent="0.35">
      <c r="M60">
        <v>40</v>
      </c>
      <c r="N60">
        <v>19</v>
      </c>
      <c r="O60">
        <f t="shared" si="4"/>
        <v>104</v>
      </c>
      <c r="P60">
        <f t="shared" si="5"/>
        <v>66.2</v>
      </c>
      <c r="Q60">
        <f t="shared" si="6"/>
        <v>0.9351870000000001</v>
      </c>
      <c r="R60">
        <f t="shared" si="7"/>
        <v>1.199182</v>
      </c>
    </row>
    <row r="61" spans="13:19" x14ac:dyDescent="0.35">
      <c r="M61">
        <v>45</v>
      </c>
      <c r="N61">
        <v>19</v>
      </c>
      <c r="O61">
        <f t="shared" si="4"/>
        <v>113</v>
      </c>
      <c r="P61">
        <f t="shared" si="5"/>
        <v>66.2</v>
      </c>
      <c r="Q61">
        <f t="shared" si="6"/>
        <v>0.88516200000000045</v>
      </c>
      <c r="R61">
        <f t="shared" si="7"/>
        <v>1.4041119999999998</v>
      </c>
    </row>
    <row r="62" spans="13:19" x14ac:dyDescent="0.35">
      <c r="M62">
        <v>24</v>
      </c>
      <c r="N62">
        <v>22</v>
      </c>
      <c r="O62">
        <f t="shared" si="4"/>
        <v>75.2</v>
      </c>
      <c r="P62">
        <f t="shared" si="5"/>
        <v>71.599999999999994</v>
      </c>
      <c r="Q62">
        <f t="shared" si="6"/>
        <v>1.209084</v>
      </c>
      <c r="R62">
        <f t="shared" si="7"/>
        <v>0.64394799999999985</v>
      </c>
    </row>
    <row r="63" spans="13:19" x14ac:dyDescent="0.35">
      <c r="M63">
        <v>35</v>
      </c>
      <c r="N63">
        <v>22</v>
      </c>
      <c r="O63">
        <f t="shared" si="4"/>
        <v>95</v>
      </c>
      <c r="P63">
        <f t="shared" si="5"/>
        <v>71.599999999999994</v>
      </c>
      <c r="Q63">
        <f t="shared" si="6"/>
        <v>1.096895</v>
      </c>
      <c r="R63">
        <f t="shared" si="7"/>
        <v>0.907497</v>
      </c>
    </row>
    <row r="64" spans="13:19" x14ac:dyDescent="0.35">
      <c r="M64">
        <v>40</v>
      </c>
      <c r="N64">
        <v>22</v>
      </c>
      <c r="O64">
        <f t="shared" si="4"/>
        <v>104</v>
      </c>
      <c r="P64">
        <f t="shared" si="5"/>
        <v>71.599999999999994</v>
      </c>
      <c r="Q64">
        <f t="shared" si="6"/>
        <v>1.0426200000000001</v>
      </c>
      <c r="R64">
        <f t="shared" si="7"/>
        <v>1.075372</v>
      </c>
    </row>
    <row r="65" spans="13:18" x14ac:dyDescent="0.35">
      <c r="M65">
        <v>45</v>
      </c>
      <c r="N65">
        <v>22</v>
      </c>
      <c r="O65">
        <f t="shared" si="4"/>
        <v>113</v>
      </c>
      <c r="P65">
        <f t="shared" si="5"/>
        <v>71.599999999999994</v>
      </c>
      <c r="Q65">
        <f t="shared" si="6"/>
        <v>0.98629500000000037</v>
      </c>
      <c r="R65">
        <f t="shared" si="7"/>
        <v>1.2732969999999999</v>
      </c>
    </row>
  </sheetData>
  <mergeCells count="4">
    <mergeCell ref="M31:N31"/>
    <mergeCell ref="O31:P31"/>
    <mergeCell ref="M48:N48"/>
    <mergeCell ref="O48:P48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BFCD5-3554-4DA6-98A8-04F7F4418832}">
  <sheetPr codeName="Sheet4"/>
  <dimension ref="A1:A47"/>
  <sheetViews>
    <sheetView zoomScale="120" zoomScaleNormal="120" workbookViewId="0">
      <selection activeCell="C3" sqref="C3"/>
    </sheetView>
  </sheetViews>
  <sheetFormatPr defaultRowHeight="14.5" x14ac:dyDescent="0.35"/>
  <sheetData>
    <row r="1" spans="1:1" x14ac:dyDescent="0.35">
      <c r="A1" t="s">
        <v>142</v>
      </c>
    </row>
    <row r="2" spans="1:1" x14ac:dyDescent="0.35">
      <c r="A2" t="s">
        <v>141</v>
      </c>
    </row>
    <row r="3" spans="1:1" x14ac:dyDescent="0.35">
      <c r="A3" t="s">
        <v>1</v>
      </c>
    </row>
    <row r="5" spans="1:1" x14ac:dyDescent="0.35">
      <c r="A5" s="1" t="s">
        <v>6</v>
      </c>
    </row>
    <row r="19" spans="1:1" x14ac:dyDescent="0.35">
      <c r="A19" s="1" t="s">
        <v>7</v>
      </c>
    </row>
    <row r="20" spans="1:1" x14ac:dyDescent="0.35">
      <c r="A20" s="1"/>
    </row>
    <row r="21" spans="1:1" x14ac:dyDescent="0.35">
      <c r="A21" s="1"/>
    </row>
    <row r="22" spans="1:1" x14ac:dyDescent="0.35">
      <c r="A22" s="1"/>
    </row>
    <row r="23" spans="1:1" x14ac:dyDescent="0.35">
      <c r="A23" s="1"/>
    </row>
    <row r="24" spans="1:1" x14ac:dyDescent="0.35">
      <c r="A24" s="1"/>
    </row>
    <row r="25" spans="1:1" x14ac:dyDescent="0.35">
      <c r="A25" s="1"/>
    </row>
    <row r="26" spans="1:1" x14ac:dyDescent="0.35">
      <c r="A26" s="1"/>
    </row>
    <row r="27" spans="1:1" x14ac:dyDescent="0.35">
      <c r="A27" s="1"/>
    </row>
    <row r="28" spans="1:1" x14ac:dyDescent="0.35">
      <c r="A28" s="1"/>
    </row>
    <row r="29" spans="1:1" x14ac:dyDescent="0.35">
      <c r="A29" s="1"/>
    </row>
    <row r="30" spans="1:1" x14ac:dyDescent="0.35">
      <c r="A30" s="1"/>
    </row>
    <row r="31" spans="1:1" x14ac:dyDescent="0.35">
      <c r="A31" s="1"/>
    </row>
    <row r="32" spans="1:1" x14ac:dyDescent="0.35">
      <c r="A32" s="1"/>
    </row>
    <row r="33" spans="1:1" x14ac:dyDescent="0.35">
      <c r="A33" s="1" t="s">
        <v>8</v>
      </c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  <row r="45" spans="1:1" x14ac:dyDescent="0.35">
      <c r="A45" s="1"/>
    </row>
    <row r="46" spans="1:1" x14ac:dyDescent="0.35">
      <c r="A46" s="1"/>
    </row>
    <row r="47" spans="1:1" x14ac:dyDescent="0.35">
      <c r="A47" s="1" t="s">
        <v>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95E2-8DB2-4BD1-A5AF-93ADB2F6179B}">
  <sheetPr codeName="Sheet1"/>
  <dimension ref="A1:S35"/>
  <sheetViews>
    <sheetView zoomScaleNormal="100" workbookViewId="0">
      <selection activeCell="K1" sqref="K1"/>
    </sheetView>
  </sheetViews>
  <sheetFormatPr defaultRowHeight="14.5" x14ac:dyDescent="0.35"/>
  <cols>
    <col min="11" max="11" width="36.6328125" bestFit="1" customWidth="1"/>
    <col min="12" max="13" width="12.08984375" customWidth="1"/>
    <col min="14" max="14" width="12.36328125" customWidth="1"/>
    <col min="15" max="15" width="14.453125" customWidth="1"/>
    <col min="16" max="16" width="16.54296875" customWidth="1"/>
    <col min="17" max="17" width="17.6328125" customWidth="1"/>
    <col min="18" max="19" width="12.453125" bestFit="1" customWidth="1"/>
  </cols>
  <sheetData>
    <row r="1" spans="1:19" x14ac:dyDescent="0.35">
      <c r="A1" t="s">
        <v>12</v>
      </c>
      <c r="K1" t="s">
        <v>143</v>
      </c>
    </row>
    <row r="2" spans="1:19" x14ac:dyDescent="0.35">
      <c r="K2" t="s">
        <v>25</v>
      </c>
      <c r="Q2" t="s">
        <v>45</v>
      </c>
    </row>
    <row r="3" spans="1:19" x14ac:dyDescent="0.35">
      <c r="K3" t="s">
        <v>27</v>
      </c>
      <c r="L3" t="s">
        <v>26</v>
      </c>
      <c r="M3" t="s">
        <v>34</v>
      </c>
      <c r="N3" t="s">
        <v>29</v>
      </c>
      <c r="O3" t="s">
        <v>30</v>
      </c>
      <c r="P3" t="s">
        <v>31</v>
      </c>
      <c r="Q3" t="s">
        <v>32</v>
      </c>
      <c r="R3" t="s">
        <v>47</v>
      </c>
      <c r="S3" t="s">
        <v>48</v>
      </c>
    </row>
    <row r="4" spans="1:19" x14ac:dyDescent="0.35">
      <c r="K4" s="4" t="s">
        <v>14</v>
      </c>
      <c r="L4" s="4" t="s">
        <v>28</v>
      </c>
      <c r="M4" s="4">
        <v>1</v>
      </c>
      <c r="N4" s="4">
        <v>10</v>
      </c>
      <c r="O4" s="5">
        <f>N4/3.412</f>
        <v>2.9308323563892147</v>
      </c>
      <c r="P4" s="4" t="s">
        <v>46</v>
      </c>
      <c r="Q4" s="4">
        <v>7.1</v>
      </c>
      <c r="R4" s="4"/>
      <c r="S4" s="4"/>
    </row>
    <row r="5" spans="1:19" x14ac:dyDescent="0.35">
      <c r="K5" s="4" t="s">
        <v>15</v>
      </c>
      <c r="L5" s="4" t="s">
        <v>28</v>
      </c>
      <c r="M5" s="4">
        <v>1</v>
      </c>
      <c r="N5" s="4">
        <v>11</v>
      </c>
      <c r="O5" s="5">
        <f t="shared" ref="O5:O9" si="0">N5/3.412</f>
        <v>3.2239155920281362</v>
      </c>
      <c r="P5" s="4" t="s">
        <v>46</v>
      </c>
      <c r="Q5" s="4"/>
      <c r="R5" s="4"/>
      <c r="S5" s="4"/>
    </row>
    <row r="6" spans="1:19" x14ac:dyDescent="0.35">
      <c r="K6" s="4" t="s">
        <v>16</v>
      </c>
      <c r="L6" s="4" t="s">
        <v>28</v>
      </c>
      <c r="M6" s="4">
        <v>1</v>
      </c>
      <c r="N6" s="4">
        <v>12</v>
      </c>
      <c r="O6" s="5">
        <f t="shared" si="0"/>
        <v>3.5169988276670576</v>
      </c>
      <c r="P6" s="4" t="s">
        <v>46</v>
      </c>
      <c r="Q6" s="4"/>
      <c r="R6" s="4"/>
      <c r="S6" s="4"/>
    </row>
    <row r="7" spans="1:19" x14ac:dyDescent="0.35">
      <c r="K7" t="s">
        <v>17</v>
      </c>
      <c r="L7" t="s">
        <v>28</v>
      </c>
      <c r="M7">
        <v>1</v>
      </c>
      <c r="N7">
        <v>13</v>
      </c>
      <c r="O7" s="2">
        <f t="shared" si="0"/>
        <v>3.8100820633059791</v>
      </c>
      <c r="P7" t="s">
        <v>46</v>
      </c>
      <c r="Q7">
        <v>8.1999999999999993</v>
      </c>
    </row>
    <row r="8" spans="1:19" x14ac:dyDescent="0.35">
      <c r="K8" t="s">
        <v>13</v>
      </c>
      <c r="L8" t="s">
        <v>33</v>
      </c>
      <c r="M8">
        <v>1</v>
      </c>
      <c r="N8">
        <v>14</v>
      </c>
      <c r="O8" s="2">
        <f t="shared" si="0"/>
        <v>4.1031652989449006</v>
      </c>
      <c r="P8" t="s">
        <v>46</v>
      </c>
      <c r="Q8">
        <v>8.1999999999999993</v>
      </c>
    </row>
    <row r="9" spans="1:19" x14ac:dyDescent="0.35">
      <c r="K9" t="s">
        <v>18</v>
      </c>
      <c r="L9" t="s">
        <v>35</v>
      </c>
      <c r="M9">
        <v>1</v>
      </c>
      <c r="N9">
        <v>15</v>
      </c>
      <c r="O9" s="2">
        <f t="shared" si="0"/>
        <v>4.3962485345838216</v>
      </c>
      <c r="P9" t="s">
        <v>46</v>
      </c>
      <c r="Q9">
        <v>8.6999999999999993</v>
      </c>
    </row>
    <row r="10" spans="1:19" x14ac:dyDescent="0.35">
      <c r="K10" t="s">
        <v>19</v>
      </c>
      <c r="L10" t="s">
        <v>35</v>
      </c>
      <c r="M10">
        <v>2</v>
      </c>
      <c r="N10">
        <v>16</v>
      </c>
      <c r="O10" s="2">
        <f>Q30</f>
        <v>3.8570237999999999</v>
      </c>
      <c r="P10" s="2">
        <f>R30</f>
        <v>4.7107310599999996</v>
      </c>
      <c r="Q10">
        <v>9</v>
      </c>
    </row>
    <row r="11" spans="1:19" x14ac:dyDescent="0.35">
      <c r="K11" t="s">
        <v>20</v>
      </c>
      <c r="L11" t="s">
        <v>35</v>
      </c>
      <c r="M11">
        <v>2</v>
      </c>
      <c r="N11">
        <v>17</v>
      </c>
      <c r="O11" s="2">
        <f t="shared" ref="O11:P11" si="1">Q31</f>
        <v>4.1584107000000001</v>
      </c>
      <c r="P11" s="2">
        <f t="shared" si="1"/>
        <v>5.0206729599999997</v>
      </c>
      <c r="Q11">
        <v>9.4</v>
      </c>
    </row>
    <row r="12" spans="1:19" x14ac:dyDescent="0.35">
      <c r="K12" t="s">
        <v>21</v>
      </c>
      <c r="L12" t="s">
        <v>35</v>
      </c>
      <c r="M12">
        <v>2</v>
      </c>
      <c r="N12">
        <v>18</v>
      </c>
      <c r="O12" s="2">
        <f t="shared" ref="O12:P12" si="2">Q32</f>
        <v>4.4630438000000003</v>
      </c>
      <c r="P12" s="2">
        <f t="shared" si="2"/>
        <v>5.3335792700000004</v>
      </c>
      <c r="Q12">
        <v>9.6999999999999993</v>
      </c>
    </row>
    <row r="13" spans="1:19" x14ac:dyDescent="0.35">
      <c r="K13" t="s">
        <v>22</v>
      </c>
      <c r="L13" t="s">
        <v>35</v>
      </c>
      <c r="M13">
        <v>2</v>
      </c>
      <c r="N13">
        <v>19</v>
      </c>
      <c r="O13" s="2">
        <f t="shared" ref="O13:P13" si="3">Q33</f>
        <v>4.7709137799999999</v>
      </c>
      <c r="P13" s="2">
        <f t="shared" si="3"/>
        <v>5.6494769500000004</v>
      </c>
    </row>
    <row r="14" spans="1:19" x14ac:dyDescent="0.35">
      <c r="K14" t="s">
        <v>23</v>
      </c>
      <c r="L14" t="s">
        <v>35</v>
      </c>
      <c r="M14">
        <v>2</v>
      </c>
      <c r="N14">
        <v>20</v>
      </c>
      <c r="O14" s="2">
        <f t="shared" ref="O14:P14" si="4">Q34</f>
        <v>5.0820201100000002</v>
      </c>
      <c r="P14" s="2">
        <f t="shared" si="4"/>
        <v>5.9683968700000003</v>
      </c>
    </row>
    <row r="15" spans="1:19" x14ac:dyDescent="0.35">
      <c r="K15" t="s">
        <v>24</v>
      </c>
      <c r="L15" t="s">
        <v>35</v>
      </c>
      <c r="M15">
        <v>2</v>
      </c>
      <c r="N15">
        <v>21</v>
      </c>
      <c r="O15" s="2">
        <f t="shared" ref="O15:P15" si="5">Q35</f>
        <v>5.3963696299999997</v>
      </c>
      <c r="P15" s="2">
        <f t="shared" si="5"/>
        <v>6.2903730099999997</v>
      </c>
    </row>
    <row r="18" spans="14:18" x14ac:dyDescent="0.35">
      <c r="O18" t="s">
        <v>49</v>
      </c>
      <c r="Q18" t="s">
        <v>50</v>
      </c>
    </row>
    <row r="19" spans="14:18" x14ac:dyDescent="0.35">
      <c r="Q19" t="s">
        <v>51</v>
      </c>
    </row>
    <row r="22" spans="14:18" x14ac:dyDescent="0.35">
      <c r="O22" t="s">
        <v>38</v>
      </c>
      <c r="P22" t="s">
        <v>42</v>
      </c>
    </row>
    <row r="23" spans="14:18" x14ac:dyDescent="0.35">
      <c r="O23" t="s">
        <v>39</v>
      </c>
      <c r="P23" t="s">
        <v>43</v>
      </c>
    </row>
    <row r="27" spans="14:18" x14ac:dyDescent="0.35">
      <c r="O27" t="s">
        <v>36</v>
      </c>
    </row>
    <row r="28" spans="14:18" x14ac:dyDescent="0.35">
      <c r="O28" t="s">
        <v>37</v>
      </c>
    </row>
    <row r="29" spans="14:18" x14ac:dyDescent="0.35">
      <c r="N29" t="s">
        <v>44</v>
      </c>
      <c r="O29" t="s">
        <v>38</v>
      </c>
      <c r="P29" t="s">
        <v>39</v>
      </c>
      <c r="Q29" t="s">
        <v>40</v>
      </c>
      <c r="R29" t="s">
        <v>41</v>
      </c>
    </row>
    <row r="30" spans="14:18" x14ac:dyDescent="0.35">
      <c r="N30">
        <v>16</v>
      </c>
      <c r="O30" s="3">
        <f>N30/3.412</f>
        <v>4.6893317702227435</v>
      </c>
      <c r="P30" s="3">
        <f>O30+1</f>
        <v>5.6893317702227435</v>
      </c>
      <c r="Q30">
        <v>3.8570237999999999</v>
      </c>
      <c r="R30">
        <v>4.7107310599999996</v>
      </c>
    </row>
    <row r="31" spans="14:18" x14ac:dyDescent="0.35">
      <c r="N31">
        <v>17</v>
      </c>
      <c r="O31" s="3">
        <f t="shared" ref="O31:O35" si="6">N31/3.412</f>
        <v>4.9824150058616645</v>
      </c>
      <c r="P31" s="3">
        <f t="shared" ref="P31:P35" si="7">O31+1</f>
        <v>5.9824150058616645</v>
      </c>
      <c r="Q31">
        <v>4.1584107000000001</v>
      </c>
      <c r="R31">
        <v>5.0206729599999997</v>
      </c>
    </row>
    <row r="32" spans="14:18" x14ac:dyDescent="0.35">
      <c r="N32">
        <v>18</v>
      </c>
      <c r="O32" s="3">
        <f t="shared" si="6"/>
        <v>5.2754982415005864</v>
      </c>
      <c r="P32" s="3">
        <f t="shared" si="7"/>
        <v>6.2754982415005864</v>
      </c>
      <c r="Q32">
        <v>4.4630438000000003</v>
      </c>
      <c r="R32">
        <v>5.3335792700000004</v>
      </c>
    </row>
    <row r="33" spans="14:18" x14ac:dyDescent="0.35">
      <c r="N33">
        <v>19</v>
      </c>
      <c r="O33" s="3">
        <f t="shared" si="6"/>
        <v>5.5685814771395075</v>
      </c>
      <c r="P33" s="3">
        <f t="shared" si="7"/>
        <v>6.5685814771395075</v>
      </c>
      <c r="Q33">
        <v>4.7709137799999999</v>
      </c>
      <c r="R33">
        <v>5.6494769500000004</v>
      </c>
    </row>
    <row r="34" spans="14:18" x14ac:dyDescent="0.35">
      <c r="N34">
        <v>20</v>
      </c>
      <c r="O34" s="3">
        <f t="shared" si="6"/>
        <v>5.8616647127784294</v>
      </c>
      <c r="P34" s="3">
        <f t="shared" si="7"/>
        <v>6.8616647127784294</v>
      </c>
      <c r="Q34">
        <v>5.0820201100000002</v>
      </c>
      <c r="R34">
        <v>5.9683968700000003</v>
      </c>
    </row>
    <row r="35" spans="14:18" x14ac:dyDescent="0.35">
      <c r="N35">
        <v>21</v>
      </c>
      <c r="O35" s="3">
        <f t="shared" si="6"/>
        <v>6.1547479484173504</v>
      </c>
      <c r="P35" s="3">
        <f t="shared" si="7"/>
        <v>7.1547479484173504</v>
      </c>
      <c r="Q35">
        <v>5.3963696299999997</v>
      </c>
      <c r="R35">
        <v>6.2903730099999997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F09C-97ED-4302-ABCE-7E64B0FFD4C7}">
  <dimension ref="B2:E18"/>
  <sheetViews>
    <sheetView workbookViewId="0">
      <selection activeCell="B3" sqref="B3"/>
    </sheetView>
  </sheetViews>
  <sheetFormatPr defaultRowHeight="14.5" x14ac:dyDescent="0.35"/>
  <cols>
    <col min="2" max="2" width="14.08984375" customWidth="1"/>
    <col min="3" max="3" width="14.1796875" customWidth="1"/>
  </cols>
  <sheetData>
    <row r="2" spans="2:5" x14ac:dyDescent="0.35">
      <c r="B2" t="s">
        <v>148</v>
      </c>
    </row>
    <row r="3" spans="2:5" x14ac:dyDescent="0.35">
      <c r="B3" t="s">
        <v>52</v>
      </c>
      <c r="C3" t="s">
        <v>53</v>
      </c>
      <c r="E3" t="s">
        <v>146</v>
      </c>
    </row>
    <row r="4" spans="2:5" x14ac:dyDescent="0.35">
      <c r="B4">
        <v>5.2</v>
      </c>
      <c r="C4">
        <v>2.8</v>
      </c>
      <c r="E4">
        <f>B4/C4</f>
        <v>1.8571428571428574</v>
      </c>
    </row>
    <row r="5" spans="2:5" x14ac:dyDescent="0.35">
      <c r="B5">
        <v>5</v>
      </c>
      <c r="C5">
        <v>2.6</v>
      </c>
      <c r="E5">
        <f>B5/C5</f>
        <v>1.9230769230769229</v>
      </c>
    </row>
    <row r="6" spans="2:5" x14ac:dyDescent="0.35">
      <c r="B6">
        <v>4</v>
      </c>
      <c r="C6">
        <v>2.4</v>
      </c>
      <c r="E6">
        <f>B6/C6</f>
        <v>1.6666666666666667</v>
      </c>
    </row>
    <row r="10" spans="2:5" x14ac:dyDescent="0.35">
      <c r="B10">
        <v>3.5</v>
      </c>
      <c r="C10">
        <v>1</v>
      </c>
      <c r="E10">
        <f>B10/C10</f>
        <v>3.5</v>
      </c>
    </row>
    <row r="12" spans="2:5" x14ac:dyDescent="0.35">
      <c r="B12">
        <v>4</v>
      </c>
      <c r="C12">
        <v>2.4</v>
      </c>
      <c r="E12">
        <f t="shared" ref="E12:E18" si="0">B12/C12</f>
        <v>1.6666666666666667</v>
      </c>
    </row>
    <row r="13" spans="2:5" x14ac:dyDescent="0.35">
      <c r="B13">
        <v>4</v>
      </c>
      <c r="C13">
        <v>2.4</v>
      </c>
      <c r="E13">
        <f t="shared" si="0"/>
        <v>1.6666666666666667</v>
      </c>
    </row>
    <row r="14" spans="2:5" x14ac:dyDescent="0.35">
      <c r="B14">
        <v>5.4</v>
      </c>
      <c r="C14">
        <v>2.8</v>
      </c>
      <c r="E14">
        <f t="shared" si="0"/>
        <v>1.9285714285714288</v>
      </c>
    </row>
    <row r="15" spans="2:5" x14ac:dyDescent="0.35">
      <c r="B15">
        <v>4</v>
      </c>
      <c r="C15">
        <v>2.4</v>
      </c>
      <c r="E15">
        <f t="shared" si="0"/>
        <v>1.6666666666666667</v>
      </c>
    </row>
    <row r="16" spans="2:5" x14ac:dyDescent="0.35">
      <c r="B16">
        <v>5</v>
      </c>
      <c r="C16">
        <v>2.6</v>
      </c>
      <c r="E16">
        <f t="shared" si="0"/>
        <v>1.9230769230769229</v>
      </c>
    </row>
    <row r="17" spans="2:5" x14ac:dyDescent="0.35">
      <c r="B17">
        <v>3.8</v>
      </c>
      <c r="C17">
        <v>3</v>
      </c>
      <c r="E17">
        <f t="shared" si="0"/>
        <v>1.2666666666666666</v>
      </c>
    </row>
    <row r="18" spans="2:5" x14ac:dyDescent="0.35">
      <c r="B18">
        <v>3.6</v>
      </c>
      <c r="C18">
        <v>2.4</v>
      </c>
      <c r="E18">
        <f t="shared" si="0"/>
        <v>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Equation sources</vt:lpstr>
      <vt:lpstr>COP_calc</vt:lpstr>
      <vt:lpstr>Cooling</vt:lpstr>
      <vt:lpstr>Heating</vt:lpstr>
      <vt:lpstr>SEER_&amp;_COPs</vt:lpstr>
      <vt:lpstr>Turndown 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Liang, Yitian</dc:creator>
  <cp:lastModifiedBy>McWilliams, Jennifer</cp:lastModifiedBy>
  <dcterms:created xsi:type="dcterms:W3CDTF">2022-06-16T18:07:01Z</dcterms:created>
  <dcterms:modified xsi:type="dcterms:W3CDTF">2024-02-19T18:55:22Z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bb032-08bf-4f1e-af46-2528cd3f96ca_Enabled">
    <vt:lpwstr>true</vt:lpwstr>
  </property>
  <property fmtid="{D5CDD505-2E9C-101B-9397-08002B2CF9AE}" pid="3" name="MSIP_Label_22fbb032-08bf-4f1e-af46-2528cd3f96ca_SetDate">
    <vt:lpwstr>2022-06-17T00:08:14Z</vt:lpwstr>
  </property>
  <property fmtid="{D5CDD505-2E9C-101B-9397-08002B2CF9AE}" pid="4" name="MSIP_Label_22fbb032-08bf-4f1e-af46-2528cd3f96ca_Method">
    <vt:lpwstr>Privileged</vt:lpwstr>
  </property>
  <property fmtid="{D5CDD505-2E9C-101B-9397-08002B2CF9AE}" pid="5" name="MSIP_Label_22fbb032-08bf-4f1e-af46-2528cd3f96ca_Name">
    <vt:lpwstr>22fbb032-08bf-4f1e-af46-2528cd3f96ca</vt:lpwstr>
  </property>
  <property fmtid="{D5CDD505-2E9C-101B-9397-08002B2CF9AE}" pid="6" name="MSIP_Label_22fbb032-08bf-4f1e-af46-2528cd3f96ca_SiteId">
    <vt:lpwstr>adf10e2b-b6e9-41d6-be2f-c12bb566019c</vt:lpwstr>
  </property>
  <property fmtid="{D5CDD505-2E9C-101B-9397-08002B2CF9AE}" pid="7" name="MSIP_Label_22fbb032-08bf-4f1e-af46-2528cd3f96ca_ActionId">
    <vt:lpwstr>386813bc-5c95-4d81-8f6c-4fbd7a3b9631</vt:lpwstr>
  </property>
  <property fmtid="{D5CDD505-2E9C-101B-9397-08002B2CF9AE}" pid="8" name="MSIP_Label_22fbb032-08bf-4f1e-af46-2528cd3f96ca_ContentBits">
    <vt:lpwstr>0</vt:lpwstr>
  </property>
</Properties>
</file>